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gif" ContentType="image/gif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2"/>
  </bookViews>
  <sheets>
    <sheet name="Request Overview" sheetId="12" r:id="rId1"/>
    <sheet name="Sales Forcast" sheetId="7" r:id="rId2"/>
    <sheet name="Capital Flow" sheetId="9" r:id="rId3"/>
    <sheet name="3 year Ops" sheetId="19" r:id="rId4"/>
    <sheet name="Balance Sheet" sheetId="17" r:id="rId5"/>
    <sheet name="Formulas" sheetId="14" r:id="rId6"/>
    <sheet name="Charts" sheetId="13" r:id="rId7"/>
    <sheet name="numbers" sheetId="16" r:id="rId8"/>
  </sheets>
  <externalReferences>
    <externalReference r:id="rId11"/>
  </externalReferences>
  <definedNames>
    <definedName name="_xlnm.Print_Area" localSheetId="2">'Capital Flow'!$A$1:$Q$77</definedName>
    <definedName name="_xlnm.Print_Area" localSheetId="6">'Charts'!$E$1:$U$51</definedName>
    <definedName name="_xlnm.Print_Area" localSheetId="5">'Formulas'!$A$1:$C$11</definedName>
    <definedName name="_xlnm.Print_Area" localSheetId="7">'numbers'!$B$1:$Q$37</definedName>
    <definedName name="_xlnm.Print_Area" localSheetId="0">'Request Overview'!$A$1:$J$37</definedName>
    <definedName name="_xlnm.Print_Area" localSheetId="1">'Sales Forcast'!$A$1:$R$67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<sst xmlns="http://schemas.openxmlformats.org/spreadsheetml/2006/main" count="424" uniqueCount="250">
  <si>
    <t xml:space="preserve"> Month 1</t>
  </si>
  <si>
    <t xml:space="preserve"> Month 2</t>
  </si>
  <si>
    <t xml:space="preserve"> Month 3</t>
  </si>
  <si>
    <t xml:space="preserve"> Month 4</t>
  </si>
  <si>
    <t xml:space="preserve"> Month 5</t>
  </si>
  <si>
    <t xml:space="preserve"> Month 6</t>
  </si>
  <si>
    <t xml:space="preserve"> Month 7</t>
  </si>
  <si>
    <t xml:space="preserve"> Month 8</t>
  </si>
  <si>
    <t xml:space="preserve"> Month 9</t>
  </si>
  <si>
    <t xml:space="preserve"> Month 10</t>
  </si>
  <si>
    <t xml:space="preserve"> Month 11</t>
  </si>
  <si>
    <t xml:space="preserve"> Month 12</t>
  </si>
  <si>
    <t xml:space="preserve"> Year 1</t>
  </si>
  <si>
    <t>Cash from Operations</t>
  </si>
  <si>
    <t>Payroll</t>
  </si>
  <si>
    <t>Payroll Taxes</t>
  </si>
  <si>
    <t>Rent</t>
  </si>
  <si>
    <t>Total Requirements</t>
  </si>
  <si>
    <t>Start-up Requirements</t>
  </si>
  <si>
    <t>Asset Requirements</t>
  </si>
  <si>
    <t>Start-up Expenses to Fund</t>
  </si>
  <si>
    <t>Start-up Assets to Fund</t>
  </si>
  <si>
    <t>Total Funding Required</t>
  </si>
  <si>
    <t>Total Start-up Expenses</t>
  </si>
  <si>
    <t>Total Asset Expenses</t>
  </si>
  <si>
    <t>Utilities</t>
  </si>
  <si>
    <t>Insurance</t>
  </si>
  <si>
    <t>Office Supplies</t>
  </si>
  <si>
    <t>Internet / Phone</t>
  </si>
  <si>
    <t>$12 /Gram</t>
  </si>
  <si>
    <t>Break Even</t>
  </si>
  <si>
    <t>Month 4</t>
  </si>
  <si>
    <t>Month 3</t>
  </si>
  <si>
    <t>Month 2</t>
  </si>
  <si>
    <t>Month 1</t>
  </si>
  <si>
    <t>Spend/Customer</t>
  </si>
  <si>
    <t>General Manager</t>
  </si>
  <si>
    <t>Shift Manager 1</t>
  </si>
  <si>
    <t>Shift Manager 2</t>
  </si>
  <si>
    <t>Customers Per Month</t>
  </si>
  <si>
    <t>Startup Overview</t>
  </si>
  <si>
    <t>Security Equipment</t>
  </si>
  <si>
    <t xml:space="preserve">Electrical Wiring </t>
  </si>
  <si>
    <t>Traceability Equipment</t>
  </si>
  <si>
    <t>Start-Up Inventory</t>
  </si>
  <si>
    <t>Flowers</t>
  </si>
  <si>
    <t>grams per pound</t>
  </si>
  <si>
    <t>pounds sold per month average</t>
  </si>
  <si>
    <t>to 70 percent of the market share will be dry flower</t>
  </si>
  <si>
    <t>Patients per day ( 7 day per week schedule)</t>
  </si>
  <si>
    <t xml:space="preserve">gram dry flower average spend per patient </t>
  </si>
  <si>
    <t xml:space="preserve">Drops/Caps units average per day </t>
  </si>
  <si>
    <t>Security</t>
  </si>
  <si>
    <t>Inventory Manager</t>
  </si>
  <si>
    <t>Marketing</t>
  </si>
  <si>
    <t>Security/Alarm Fee</t>
  </si>
  <si>
    <t>Traceability Software Fee</t>
  </si>
  <si>
    <t>Misc. Permits</t>
  </si>
  <si>
    <t>patients / day</t>
  </si>
  <si>
    <t>average spend (month 1 sales)</t>
  </si>
  <si>
    <t>average of all products mailed for free at a cost of $5 per package</t>
  </si>
  <si>
    <t>Assets</t>
  </si>
  <si>
    <t>Total Assets</t>
  </si>
  <si>
    <t>Edibles</t>
  </si>
  <si>
    <t>Tinctures</t>
  </si>
  <si>
    <t>Unit = 1 item</t>
  </si>
  <si>
    <t>Salves</t>
  </si>
  <si>
    <t>Vape</t>
  </si>
  <si>
    <t>Food</t>
  </si>
  <si>
    <t>Flower</t>
  </si>
  <si>
    <t>Oral</t>
  </si>
  <si>
    <t>Topical</t>
  </si>
  <si>
    <t>$80/Gram</t>
  </si>
  <si>
    <t>Point of Sale items</t>
  </si>
  <si>
    <t xml:space="preserve">Security Doors </t>
  </si>
  <si>
    <t>Reception Admin 1</t>
  </si>
  <si>
    <t>Reception Admin 2</t>
  </si>
  <si>
    <t>Dispensing Agent 1</t>
  </si>
  <si>
    <t>Dispensing Agent 2</t>
  </si>
  <si>
    <t>Dispensing Agent 3</t>
  </si>
  <si>
    <t>Dispensing Agent 4</t>
  </si>
  <si>
    <t>Dispensing Agent 5</t>
  </si>
  <si>
    <t>Dispensing Agent 6</t>
  </si>
  <si>
    <t>Dispensing Agent 7</t>
  </si>
  <si>
    <t>Dispensing Agent 8</t>
  </si>
  <si>
    <t>Number of Dispensaries</t>
  </si>
  <si>
    <t>Concentrates</t>
  </si>
  <si>
    <t>Total COGS</t>
  </si>
  <si>
    <t>Gross Profit</t>
  </si>
  <si>
    <t>Gross Margin</t>
  </si>
  <si>
    <t>Operating Expenses</t>
  </si>
  <si>
    <t>Total Operating Expenses</t>
  </si>
  <si>
    <t>Income (loss) from operations before other</t>
  </si>
  <si>
    <t>Depreciation and Amortization</t>
  </si>
  <si>
    <t>Local MJ Consumers (projected)</t>
  </si>
  <si>
    <t xml:space="preserve">Consumers Per 1000 Residents </t>
  </si>
  <si>
    <t>Consumers Per 1000 Travelers</t>
  </si>
  <si>
    <t>Mountain Travel MJ Consumers (projected)</t>
  </si>
  <si>
    <t>Total Visitors per Month</t>
  </si>
  <si>
    <t>Total Consumers Per Month</t>
  </si>
  <si>
    <t>Consumers per Retail Dispensary</t>
  </si>
  <si>
    <t>Start-up Supply Restrictions</t>
  </si>
  <si>
    <t xml:space="preserve">Flower </t>
  </si>
  <si>
    <t>Extract</t>
  </si>
  <si>
    <t>60 % of Market</t>
  </si>
  <si>
    <t>35 % of Market</t>
  </si>
  <si>
    <t>5 % of Market</t>
  </si>
  <si>
    <t>Topicals</t>
  </si>
  <si>
    <t>&lt;1% of Market</t>
  </si>
  <si>
    <t>Unit = 1 gram</t>
  </si>
  <si>
    <t>FECO Oil (Full Extract Cannabis Oil)</t>
  </si>
  <si>
    <t>Extracts (BHO, PHO, Full Melt)</t>
  </si>
  <si>
    <t>Accessories</t>
  </si>
  <si>
    <t>Access</t>
  </si>
  <si>
    <t>$70/Gram</t>
  </si>
  <si>
    <t>$65 /Unit</t>
  </si>
  <si>
    <t>$5 /Unit</t>
  </si>
  <si>
    <t>$12 /Unit</t>
  </si>
  <si>
    <t>$10 /Unit</t>
  </si>
  <si>
    <t>20% of Visitors</t>
  </si>
  <si>
    <t xml:space="preserve">COGS </t>
  </si>
  <si>
    <t>Projected Capital Flow</t>
  </si>
  <si>
    <t>State Excise</t>
  </si>
  <si>
    <t>City Excise</t>
  </si>
  <si>
    <t>Personnel Plan Assumptions</t>
  </si>
  <si>
    <t>Depreciation &amp; Amortization</t>
  </si>
  <si>
    <t>Income (loss) before tax</t>
  </si>
  <si>
    <t>Monthly Totals</t>
  </si>
  <si>
    <t>Investment Assumptions</t>
  </si>
  <si>
    <t>Property and equipment</t>
  </si>
  <si>
    <t xml:space="preserve">Depreciation </t>
  </si>
  <si>
    <t>PPE net</t>
  </si>
  <si>
    <t>Intangible and other assets</t>
  </si>
  <si>
    <t>Amortization</t>
  </si>
  <si>
    <t>Intangible Net</t>
  </si>
  <si>
    <t xml:space="preserve">`Investment  </t>
  </si>
  <si>
    <t>`Use of Proceeds</t>
  </si>
  <si>
    <t>Cash</t>
  </si>
  <si>
    <t>CAPEX</t>
  </si>
  <si>
    <t>Area Population &amp; Consumer Assumptions</t>
  </si>
  <si>
    <t xml:space="preserve">Unit Sales @ Retail Cost </t>
  </si>
  <si>
    <t>Bookkeeper</t>
  </si>
  <si>
    <t>Projected Sales Forecast</t>
  </si>
  <si>
    <t>Fees</t>
  </si>
  <si>
    <t>Lease Deposit</t>
  </si>
  <si>
    <t>Software/Equipment</t>
  </si>
  <si>
    <t>Inventory/Cash Safes</t>
  </si>
  <si>
    <t>Misc. furniture</t>
  </si>
  <si>
    <t xml:space="preserve">State Application </t>
  </si>
  <si>
    <t>Infrastructure</t>
  </si>
  <si>
    <t>Misc. Storage Cabinets</t>
  </si>
  <si>
    <t>POS furniture Cabinets</t>
  </si>
  <si>
    <t>Inventory</t>
  </si>
  <si>
    <t>Traceability License</t>
  </si>
  <si>
    <t>System/Hardware</t>
  </si>
  <si>
    <t xml:space="preserve">Modular Building </t>
  </si>
  <si>
    <t>Infrastructure/Installed</t>
  </si>
  <si>
    <t>Landscaping</t>
  </si>
  <si>
    <t>Parking lot/Walking paths</t>
  </si>
  <si>
    <t>Software</t>
  </si>
  <si>
    <t>Capex</t>
  </si>
  <si>
    <t>Build-out</t>
  </si>
  <si>
    <t xml:space="preserve">Lease Deposit </t>
  </si>
  <si>
    <t>Consulting and Fees</t>
  </si>
  <si>
    <t>Consulting</t>
  </si>
  <si>
    <t xml:space="preserve">Startup Consulting </t>
  </si>
  <si>
    <t>Balance Sheet</t>
  </si>
  <si>
    <t>CURRENT ASSETS:</t>
  </si>
  <si>
    <t>Accounts receivable Gross</t>
  </si>
  <si>
    <t xml:space="preserve">  Allowance Doubtful Accounts</t>
  </si>
  <si>
    <t>Other current assets</t>
  </si>
  <si>
    <t xml:space="preserve">   Total current assets (Less Cash)</t>
  </si>
  <si>
    <t xml:space="preserve">   Total current assets</t>
  </si>
  <si>
    <t>LONG TERM ASSETS:</t>
  </si>
  <si>
    <t xml:space="preserve">Property and equipment, net </t>
  </si>
  <si>
    <t xml:space="preserve">Intangible and other assets, net </t>
  </si>
  <si>
    <t>Goodwill, net</t>
  </si>
  <si>
    <t>Other assets</t>
  </si>
  <si>
    <t>Total Long Term Assets</t>
  </si>
  <si>
    <t>LIABILITIES AND STOCKHOLDERS' DEFICIT</t>
  </si>
  <si>
    <t>CURRENT LIABILITIES:</t>
  </si>
  <si>
    <t>Accounts payable</t>
  </si>
  <si>
    <t>Accrued liabilities</t>
  </si>
  <si>
    <t>Deferred revenue</t>
  </si>
  <si>
    <t>Total Current Liabilities</t>
  </si>
  <si>
    <t>LONG-TERM LIABILITIES:</t>
  </si>
  <si>
    <t>Long-term obligations, less current maturities</t>
  </si>
  <si>
    <t>Total Long- Term Liabilities</t>
  </si>
  <si>
    <t>Total Liabilities</t>
  </si>
  <si>
    <t>COMMITMENTS AND CONTINGENCIES</t>
  </si>
  <si>
    <t>MEMBERS EQUITY</t>
  </si>
  <si>
    <t>Members Contributions</t>
  </si>
  <si>
    <t>Additional paid-in capital</t>
  </si>
  <si>
    <t>Accumulated Gain/(deficit)</t>
  </si>
  <si>
    <t>Total stockholders' deficit</t>
  </si>
  <si>
    <t>Total liabilities and stockholders' deficit</t>
  </si>
  <si>
    <t>Promissory Notes</t>
  </si>
  <si>
    <t>Assumptions</t>
  </si>
  <si>
    <t xml:space="preserve"> - Investment</t>
  </si>
  <si>
    <t xml:space="preserve"> - Use of Proceeds</t>
  </si>
  <si>
    <t xml:space="preserve">      Cash</t>
  </si>
  <si>
    <t xml:space="preserve">      CAPEX</t>
  </si>
  <si>
    <t>Pro-Forma</t>
  </si>
  <si>
    <t>Contingency Amount</t>
  </si>
  <si>
    <t>Net Income (loss)</t>
  </si>
  <si>
    <t>Total Gross Revenue</t>
  </si>
  <si>
    <t>Net Income Margin</t>
  </si>
  <si>
    <t>Income Statement</t>
  </si>
  <si>
    <t>Revenues</t>
  </si>
  <si>
    <t>Gross Revenue</t>
  </si>
  <si>
    <t>Cost of Goods Sold</t>
  </si>
  <si>
    <t>Gross Net Income Margin</t>
  </si>
  <si>
    <t>Licenses and Registration</t>
  </si>
  <si>
    <t>Legal, Govt Affairs and Consulting Fees</t>
  </si>
  <si>
    <t>Software (Inventory Mgmt and Security)</t>
  </si>
  <si>
    <t>Supplies - Retail Packaging &amp; Office</t>
  </si>
  <si>
    <t>Wages (indirect)</t>
  </si>
  <si>
    <t>Employee Taxes and Benefits</t>
  </si>
  <si>
    <t>EBITDA</t>
  </si>
  <si>
    <t>Other Income (expense)</t>
  </si>
  <si>
    <t>Interest Income (expense) net</t>
  </si>
  <si>
    <t>EBT</t>
  </si>
  <si>
    <t>Total Consumers</t>
  </si>
  <si>
    <t>Edibles &amp; Accessories</t>
  </si>
  <si>
    <t>Pro-Forma (Dollars in Thousands)</t>
  </si>
  <si>
    <t>Excise tax provision (0%) TBD??</t>
  </si>
  <si>
    <t>State Excise tax provision (15%) TBD??</t>
  </si>
  <si>
    <t>Capitalization to Cover First Year Operating Costs and Expenses</t>
  </si>
  <si>
    <t>Financial Resources ($)</t>
  </si>
  <si>
    <t>Investor 1</t>
  </si>
  <si>
    <t>Investor 2</t>
  </si>
  <si>
    <t>Investor 3</t>
  </si>
  <si>
    <t>Total Financial Resources Available</t>
  </si>
  <si>
    <t>Total First Year Operating Costs</t>
  </si>
  <si>
    <t>Architecture/Engineering</t>
  </si>
  <si>
    <t>Consumer Market Purchase Per Dispensary (1/8 oz per visit) lbs.</t>
  </si>
  <si>
    <t>Total Sales Per Month (lbs.)</t>
  </si>
  <si>
    <t>Product Sale Assumptions by Units</t>
  </si>
  <si>
    <t>Vape Cartridges</t>
  </si>
  <si>
    <t>Legal, Govt Affairs, Consulting Fees</t>
  </si>
  <si>
    <t>Licensing &amp; Registration</t>
  </si>
  <si>
    <t>Total Purchase (lbs.) or Equivalent</t>
  </si>
  <si>
    <t>Projected 3 Year Operations</t>
  </si>
  <si>
    <t>$10/Unit Avg</t>
  </si>
  <si>
    <t>Marijuana Retail Proforma</t>
  </si>
  <si>
    <t>© RMMC Consulting</t>
  </si>
  <si>
    <t>Local Population (____ County, State____)</t>
  </si>
  <si>
    <t>Recreational Travel Population (insert here)</t>
  </si>
  <si>
    <t>HWY Travel Population (Casino, Truck Stop, &amp; Store)</t>
  </si>
  <si>
    <t>HWY General Travel MJ Consumers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</si>
</sst>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#,##0_);[Red]\-#,##0_)"/>
    <numFmt numFmtId="166" formatCode="_(* #,##0_);_(* \(#,##0\);_(* &quot;-&quot;??_);_(@_)"/>
    <numFmt numFmtId="167" formatCode="[$-409]mmm\-yy;@"/>
    <numFmt numFmtId="168" formatCode="_(&quot;$&quot;* #,##0_);_(&quot;$&quot;* \(#,##0\);_(&quot;$&quot;* &quot;-&quot;??_);_(@_)"/>
    <numFmt numFmtId="169" formatCode="0.0%"/>
    <numFmt numFmtId="170" formatCode="_(* #,##0.000_);_(* \(#,##0.000\);_(* &quot;-&quot;??_);_(@_)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i/>
      <sz val="10"/>
      <name val="Verdana"/>
      <family val="2"/>
    </font>
    <font>
      <sz val="10"/>
      <color theme="0"/>
      <name val="Verdana"/>
      <family val="2"/>
    </font>
    <font>
      <sz val="12"/>
      <name val="Verdana"/>
      <family val="2"/>
    </font>
    <font>
      <sz val="10"/>
      <color rgb="FFFF0000"/>
      <name val="Verdana"/>
      <family val="2"/>
    </font>
    <font>
      <b/>
      <sz val="11"/>
      <color rgb="FFFA7D00"/>
      <name val="Calibri"/>
      <family val="2"/>
      <scheme val="minor"/>
    </font>
    <font>
      <sz val="10"/>
      <color theme="4" tint="-0.24997000396251678"/>
      <name val="Verdana"/>
      <family val="2"/>
    </font>
    <font>
      <b/>
      <sz val="11"/>
      <color rgb="FF9C65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0"/>
      <name val="Verdana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11"/>
      <color rgb="FF9C6500"/>
      <name val="Verdana"/>
      <family val="2"/>
    </font>
    <font>
      <sz val="14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4"/>
      <name val="Arial"/>
      <family val="2"/>
    </font>
    <font>
      <sz val="9"/>
      <name val="Arial"/>
      <family val="2"/>
    </font>
    <font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rgb="FFFF0000"/>
      <name val="Verdana"/>
      <family val="2"/>
    </font>
    <font>
      <sz val="11"/>
      <color rgb="FF006100"/>
      <name val="Verdana"/>
      <family val="2"/>
    </font>
    <font>
      <sz val="10"/>
      <color theme="1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rgb="FFFA7D00"/>
      <name val="Verdana"/>
      <family val="2"/>
    </font>
    <font>
      <b/>
      <sz val="10"/>
      <color indexed="8"/>
      <name val="Verdana"/>
      <family val="2"/>
    </font>
    <font>
      <sz val="11"/>
      <color theme="0"/>
      <name val="Verdana"/>
      <family val="2"/>
    </font>
    <font>
      <sz val="10"/>
      <color theme="9" tint="-0.4999699890613556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b/>
      <sz val="18"/>
      <color theme="1" tint="0.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9"/>
      <color theme="1" tint="0.35"/>
      <name val="Calibri"/>
      <family val="2"/>
    </font>
    <font>
      <sz val="11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4" borderId="1" applyNumberFormat="0" applyAlignment="0" applyProtection="0"/>
    <xf numFmtId="0" fontId="1" fillId="0" borderId="0">
      <alignment/>
      <protection/>
    </xf>
  </cellStyleXfs>
  <cellXfs count="377">
    <xf numFmtId="0" fontId="0" fillId="0" borderId="0" xfId="0"/>
    <xf numFmtId="6" fontId="8" fillId="0" borderId="0" xfId="22" applyNumberFormat="1" applyFont="1" applyAlignment="1" applyProtection="1">
      <alignment horizontal="right"/>
      <protection locked="0"/>
    </xf>
    <xf numFmtId="165" fontId="8" fillId="5" borderId="0" xfId="22" applyNumberFormat="1" applyFont="1" applyFill="1" applyAlignment="1">
      <alignment horizontal="center" vertical="center"/>
      <protection/>
    </xf>
    <xf numFmtId="165" fontId="14" fillId="5" borderId="0" xfId="22" applyNumberFormat="1" applyFont="1" applyFill="1" applyAlignment="1">
      <alignment horizontal="center" vertical="center"/>
      <protection/>
    </xf>
    <xf numFmtId="0" fontId="8" fillId="5" borderId="0" xfId="22" applyFont="1" applyFill="1" applyAlignment="1">
      <alignment horizontal="center" vertical="center"/>
      <protection/>
    </xf>
    <xf numFmtId="8" fontId="8" fillId="5" borderId="0" xfId="22" applyNumberFormat="1" applyFont="1" applyFill="1" applyAlignment="1">
      <alignment horizontal="center" vertical="center"/>
      <protection/>
    </xf>
    <xf numFmtId="44" fontId="3" fillId="5" borderId="0" xfId="16" applyFont="1" applyFill="1" applyBorder="1" applyAlignment="1" applyProtection="1">
      <alignment horizontal="center" vertical="center"/>
      <protection/>
    </xf>
    <xf numFmtId="44" fontId="3" fillId="5" borderId="0" xfId="21" applyNumberFormat="1" applyFill="1" applyBorder="1" applyAlignment="1" applyProtection="1">
      <alignment horizontal="center" vertical="center"/>
      <protection/>
    </xf>
    <xf numFmtId="44" fontId="20" fillId="5" borderId="0" xfId="16" applyFont="1" applyFill="1" applyBorder="1" applyAlignment="1" applyProtection="1">
      <alignment horizontal="center" vertical="center"/>
      <protection/>
    </xf>
    <xf numFmtId="44" fontId="0" fillId="0" borderId="0" xfId="16" applyFont="1"/>
    <xf numFmtId="6" fontId="0" fillId="0" borderId="0" xfId="0" applyNumberFormat="1"/>
    <xf numFmtId="8" fontId="0" fillId="0" borderId="0" xfId="16" applyNumberFormat="1" applyFont="1"/>
    <xf numFmtId="44" fontId="0" fillId="0" borderId="0" xfId="0" applyNumberFormat="1"/>
    <xf numFmtId="164" fontId="24" fillId="5" borderId="0" xfId="22" applyNumberFormat="1" applyFont="1" applyFill="1" applyAlignment="1">
      <alignment horizontal="center" vertical="center"/>
      <protection/>
    </xf>
    <xf numFmtId="0" fontId="12" fillId="5" borderId="2" xfId="22" applyFont="1" applyFill="1" applyBorder="1" applyAlignment="1">
      <alignment horizontal="left" vertical="center"/>
      <protection/>
    </xf>
    <xf numFmtId="0" fontId="12" fillId="5" borderId="2" xfId="22" applyFont="1" applyFill="1" applyBorder="1" applyAlignment="1">
      <alignment horizontal="center" vertical="center"/>
      <protection/>
    </xf>
    <xf numFmtId="0" fontId="13" fillId="5" borderId="3" xfId="22" applyFont="1" applyFill="1" applyBorder="1" applyAlignment="1">
      <alignment vertical="center"/>
      <protection/>
    </xf>
    <xf numFmtId="165" fontId="0" fillId="0" borderId="0" xfId="0" applyNumberFormat="1"/>
    <xf numFmtId="0" fontId="12" fillId="5" borderId="4" xfId="2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8" fontId="8" fillId="5" borderId="5" xfId="22" applyNumberFormat="1" applyFont="1" applyFill="1" applyBorder="1" applyAlignment="1">
      <alignment horizontal="center" vertical="center"/>
      <protection/>
    </xf>
    <xf numFmtId="44" fontId="8" fillId="5" borderId="0" xfId="16" applyFont="1" applyFill="1" applyBorder="1" applyAlignment="1" applyProtection="1">
      <alignment horizontal="center" vertical="center"/>
      <protection/>
    </xf>
    <xf numFmtId="44" fontId="8" fillId="5" borderId="5" xfId="16" applyFont="1" applyFill="1" applyBorder="1" applyAlignment="1" applyProtection="1">
      <alignment horizontal="center" vertical="center"/>
      <protection/>
    </xf>
    <xf numFmtId="164" fontId="15" fillId="5" borderId="2" xfId="22" applyNumberFormat="1" applyFont="1" applyFill="1" applyBorder="1" applyAlignment="1">
      <alignment horizontal="center" vertical="center"/>
      <protection/>
    </xf>
    <xf numFmtId="164" fontId="15" fillId="5" borderId="6" xfId="22" applyNumberFormat="1" applyFont="1" applyFill="1" applyBorder="1" applyAlignment="1">
      <alignment horizontal="center" vertical="center"/>
      <protection/>
    </xf>
    <xf numFmtId="0" fontId="23" fillId="5" borderId="0" xfId="0" applyFont="1" applyFill="1" applyAlignment="1">
      <alignment vertical="center"/>
    </xf>
    <xf numFmtId="164" fontId="8" fillId="5" borderId="0" xfId="22" applyNumberFormat="1" applyFont="1" applyFill="1" applyAlignment="1">
      <alignment horizontal="right" vertical="center"/>
      <protection/>
    </xf>
    <xf numFmtId="164" fontId="15" fillId="5" borderId="0" xfId="22" applyNumberFormat="1" applyFont="1" applyFill="1" applyAlignment="1">
      <alignment horizontal="center" vertical="center"/>
      <protection/>
    </xf>
    <xf numFmtId="0" fontId="0" fillId="5" borderId="0" xfId="0" applyFill="1"/>
    <xf numFmtId="0" fontId="23" fillId="5" borderId="5" xfId="0" applyFont="1" applyFill="1" applyBorder="1" applyAlignment="1">
      <alignment vertical="center"/>
    </xf>
    <xf numFmtId="164" fontId="24" fillId="5" borderId="5" xfId="22" applyNumberFormat="1" applyFont="1" applyFill="1" applyBorder="1" applyAlignment="1">
      <alignment horizontal="center" vertical="center"/>
      <protection/>
    </xf>
    <xf numFmtId="164" fontId="8" fillId="5" borderId="5" xfId="22" applyNumberFormat="1" applyFont="1" applyFill="1" applyBorder="1" applyAlignment="1">
      <alignment horizontal="right" vertical="center"/>
      <protection/>
    </xf>
    <xf numFmtId="165" fontId="8" fillId="5" borderId="5" xfId="22" applyNumberFormat="1" applyFont="1" applyFill="1" applyBorder="1" applyAlignment="1">
      <alignment horizontal="center" vertical="center"/>
      <protection/>
    </xf>
    <xf numFmtId="165" fontId="14" fillId="5" borderId="5" xfId="22" applyNumberFormat="1" applyFont="1" applyFill="1" applyBorder="1" applyAlignment="1">
      <alignment horizontal="center" vertical="center"/>
      <protection/>
    </xf>
    <xf numFmtId="0" fontId="8" fillId="5" borderId="5" xfId="22" applyFont="1" applyFill="1" applyBorder="1" applyAlignment="1">
      <alignment horizontal="center" vertical="center"/>
      <protection/>
    </xf>
    <xf numFmtId="164" fontId="15" fillId="5" borderId="5" xfId="22" applyNumberFormat="1" applyFont="1" applyFill="1" applyBorder="1" applyAlignment="1">
      <alignment horizontal="center" vertical="center"/>
      <protection/>
    </xf>
    <xf numFmtId="44" fontId="20" fillId="5" borderId="5" xfId="16" applyFont="1" applyFill="1" applyBorder="1" applyAlignment="1" applyProtection="1">
      <alignment horizontal="center" vertical="center"/>
      <protection/>
    </xf>
    <xf numFmtId="44" fontId="3" fillId="5" borderId="5" xfId="16" applyFont="1" applyFill="1" applyBorder="1" applyAlignment="1" applyProtection="1">
      <alignment horizontal="center" vertical="center"/>
      <protection/>
    </xf>
    <xf numFmtId="44" fontId="3" fillId="5" borderId="5" xfId="21" applyNumberFormat="1" applyFill="1" applyBorder="1" applyAlignment="1" applyProtection="1">
      <alignment horizontal="center" vertical="center"/>
      <protection/>
    </xf>
    <xf numFmtId="166" fontId="25" fillId="0" borderId="0" xfId="18" applyNumberFormat="1" applyFont="1" applyBorder="1"/>
    <xf numFmtId="6" fontId="8" fillId="0" borderId="0" xfId="22" applyNumberFormat="1" applyFont="1" applyAlignment="1">
      <alignment horizontal="right"/>
      <protection/>
    </xf>
    <xf numFmtId="6" fontId="8" fillId="5" borderId="0" xfId="22" applyNumberFormat="1" applyFont="1" applyFill="1" applyAlignment="1">
      <alignment horizontal="right"/>
      <protection/>
    </xf>
    <xf numFmtId="0" fontId="8" fillId="0" borderId="0" xfId="22" applyFont="1">
      <alignment/>
      <protection/>
    </xf>
    <xf numFmtId="6" fontId="8" fillId="5" borderId="0" xfId="22" applyNumberFormat="1" applyFont="1" applyFill="1" applyAlignment="1" applyProtection="1">
      <alignment horizontal="right"/>
      <protection locked="0"/>
    </xf>
    <xf numFmtId="44" fontId="8" fillId="5" borderId="0" xfId="22" applyNumberFormat="1" applyFont="1" applyFill="1" applyAlignment="1" applyProtection="1">
      <alignment horizontal="right"/>
      <protection locked="0"/>
    </xf>
    <xf numFmtId="0" fontId="9" fillId="0" borderId="0" xfId="22" applyFont="1">
      <alignment/>
      <protection/>
    </xf>
    <xf numFmtId="0" fontId="8" fillId="0" borderId="0" xfId="26" applyFont="1" applyAlignment="1">
      <alignment horizontal="left"/>
      <protection/>
    </xf>
    <xf numFmtId="0" fontId="8" fillId="0" borderId="0" xfId="26" applyFont="1" applyAlignment="1" applyProtection="1">
      <alignment horizontal="left"/>
      <protection locked="0"/>
    </xf>
    <xf numFmtId="3" fontId="0" fillId="0" borderId="0" xfId="0" applyNumberFormat="1"/>
    <xf numFmtId="3" fontId="26" fillId="5" borderId="0" xfId="0" applyNumberFormat="1" applyFont="1" applyFill="1" applyAlignment="1">
      <alignment vertical="center"/>
    </xf>
    <xf numFmtId="3" fontId="6" fillId="6" borderId="0" xfId="23" applyNumberFormat="1" applyFont="1" applyFill="1">
      <alignment/>
      <protection/>
    </xf>
    <xf numFmtId="3" fontId="5" fillId="6" borderId="0" xfId="23" applyNumberFormat="1" applyFont="1" applyFill="1" applyAlignment="1">
      <alignment horizontal="right"/>
      <protection/>
    </xf>
    <xf numFmtId="3" fontId="5" fillId="5" borderId="0" xfId="23" applyNumberFormat="1" applyFont="1" applyFill="1" applyAlignment="1">
      <alignment horizontal="right"/>
      <protection/>
    </xf>
    <xf numFmtId="3" fontId="6" fillId="6" borderId="0" xfId="23" applyNumberFormat="1" applyFont="1" applyFill="1" applyAlignment="1">
      <alignment horizontal="right"/>
      <protection/>
    </xf>
    <xf numFmtId="3" fontId="6" fillId="5" borderId="0" xfId="23" applyNumberFormat="1" applyFont="1" applyFill="1" applyAlignment="1">
      <alignment horizontal="right"/>
      <protection/>
    </xf>
    <xf numFmtId="3" fontId="6" fillId="6" borderId="0" xfId="23" applyNumberFormat="1" applyFont="1" applyFill="1" applyAlignment="1">
      <alignment horizontal="center"/>
      <protection/>
    </xf>
    <xf numFmtId="3" fontId="8" fillId="7" borderId="0" xfId="23" applyNumberFormat="1" applyFont="1" applyFill="1" applyAlignment="1">
      <alignment horizontal="right"/>
      <protection/>
    </xf>
    <xf numFmtId="3" fontId="8" fillId="5" borderId="0" xfId="23" applyNumberFormat="1" applyFont="1" applyFill="1" applyAlignment="1">
      <alignment horizontal="right"/>
      <protection/>
    </xf>
    <xf numFmtId="3" fontId="8" fillId="0" borderId="0" xfId="23" applyNumberFormat="1" applyFont="1" applyAlignment="1">
      <alignment horizontal="right"/>
      <protection/>
    </xf>
    <xf numFmtId="3" fontId="8" fillId="0" borderId="0" xfId="23" applyNumberFormat="1" applyFont="1" applyProtection="1">
      <alignment/>
      <protection locked="0"/>
    </xf>
    <xf numFmtId="3" fontId="17" fillId="0" borderId="0" xfId="23" applyNumberFormat="1" applyFont="1" applyAlignment="1" applyProtection="1">
      <alignment horizontal="left"/>
      <protection locked="0"/>
    </xf>
    <xf numFmtId="3" fontId="17" fillId="0" borderId="0" xfId="16" applyNumberFormat="1" applyFont="1" applyFill="1" applyBorder="1" applyAlignment="1" applyProtection="1">
      <alignment horizontal="right"/>
      <protection locked="0"/>
    </xf>
    <xf numFmtId="3" fontId="17" fillId="0" borderId="0" xfId="16" applyNumberFormat="1" applyFont="1" applyFill="1" applyBorder="1" applyAlignment="1" applyProtection="1">
      <alignment horizontal="right"/>
      <protection/>
    </xf>
    <xf numFmtId="3" fontId="8" fillId="0" borderId="0" xfId="23" applyNumberFormat="1" applyFont="1">
      <alignment/>
      <protection/>
    </xf>
    <xf numFmtId="3" fontId="7" fillId="0" borderId="0" xfId="23" applyNumberFormat="1" applyFont="1" applyAlignment="1">
      <alignment horizontal="right"/>
      <protection/>
    </xf>
    <xf numFmtId="3" fontId="7" fillId="5" borderId="0" xfId="23" applyNumberFormat="1" applyFont="1" applyFill="1" applyAlignment="1">
      <alignment horizontal="right"/>
      <protection/>
    </xf>
    <xf numFmtId="3" fontId="8" fillId="8" borderId="0" xfId="23" applyNumberFormat="1" applyFont="1" applyFill="1" applyAlignment="1">
      <alignment horizontal="right"/>
      <protection/>
    </xf>
    <xf numFmtId="3" fontId="8" fillId="8" borderId="0" xfId="23" applyNumberFormat="1" applyFont="1" applyFill="1" applyAlignment="1">
      <alignment horizontal="center"/>
      <protection/>
    </xf>
    <xf numFmtId="3" fontId="8" fillId="0" borderId="0" xfId="24" applyNumberFormat="1" applyFont="1">
      <alignment/>
      <protection/>
    </xf>
    <xf numFmtId="3" fontId="8" fillId="0" borderId="0" xfId="24" applyNumberFormat="1" applyFont="1" applyAlignment="1">
      <alignment horizontal="left"/>
      <protection/>
    </xf>
    <xf numFmtId="3" fontId="8" fillId="5" borderId="0" xfId="24" applyNumberFormat="1" applyFont="1" applyFill="1" applyAlignment="1">
      <alignment horizontal="right"/>
      <protection/>
    </xf>
    <xf numFmtId="3" fontId="8" fillId="0" borderId="0" xfId="16" applyNumberFormat="1" applyFont="1" applyBorder="1" applyAlignment="1" applyProtection="1">
      <alignment horizontal="right"/>
      <protection locked="0"/>
    </xf>
    <xf numFmtId="3" fontId="8" fillId="0" borderId="0" xfId="16" applyNumberFormat="1" applyFont="1" applyBorder="1" applyAlignment="1" applyProtection="1">
      <alignment horizontal="right"/>
      <protection/>
    </xf>
    <xf numFmtId="3" fontId="8" fillId="0" borderId="0" xfId="24" applyNumberFormat="1" applyFont="1" applyAlignment="1">
      <alignment horizontal="right"/>
      <protection/>
    </xf>
    <xf numFmtId="3" fontId="8" fillId="5" borderId="0" xfId="24" applyNumberFormat="1" applyFont="1" applyFill="1">
      <alignment/>
      <protection/>
    </xf>
    <xf numFmtId="3" fontId="7" fillId="5" borderId="0" xfId="24" applyNumberFormat="1" applyFont="1" applyFill="1" applyAlignment="1">
      <alignment horizontal="right"/>
      <protection/>
    </xf>
    <xf numFmtId="3" fontId="17" fillId="5" borderId="0" xfId="23" applyNumberFormat="1" applyFont="1" applyFill="1" applyAlignment="1">
      <alignment horizontal="right"/>
      <protection/>
    </xf>
    <xf numFmtId="3" fontId="8" fillId="0" borderId="0" xfId="16" applyNumberFormat="1" applyFont="1" applyFill="1" applyBorder="1" applyAlignment="1" applyProtection="1">
      <alignment horizontal="right"/>
      <protection/>
    </xf>
    <xf numFmtId="3" fontId="8" fillId="5" borderId="0" xfId="16" applyNumberFormat="1" applyFont="1" applyFill="1" applyBorder="1" applyAlignment="1" applyProtection="1">
      <alignment horizontal="right"/>
      <protection/>
    </xf>
    <xf numFmtId="3" fontId="5" fillId="6" borderId="0" xfId="22" applyNumberFormat="1" applyFont="1" applyFill="1" applyAlignment="1">
      <alignment horizontal="right"/>
      <protection/>
    </xf>
    <xf numFmtId="3" fontId="5" fillId="5" borderId="0" xfId="22" applyNumberFormat="1" applyFont="1" applyFill="1" applyAlignment="1">
      <alignment horizontal="right"/>
      <protection/>
    </xf>
    <xf numFmtId="3" fontId="8" fillId="0" borderId="0" xfId="22" applyNumberFormat="1" applyFont="1">
      <alignment/>
      <protection/>
    </xf>
    <xf numFmtId="3" fontId="8" fillId="0" borderId="0" xfId="22" applyNumberFormat="1" applyFont="1" applyAlignment="1">
      <alignment horizontal="right"/>
      <protection/>
    </xf>
    <xf numFmtId="3" fontId="8" fillId="5" borderId="0" xfId="22" applyNumberFormat="1" applyFont="1" applyFill="1" applyAlignment="1">
      <alignment horizontal="right"/>
      <protection/>
    </xf>
    <xf numFmtId="3" fontId="15" fillId="5" borderId="0" xfId="22" applyNumberFormat="1" applyFont="1" applyFill="1" applyAlignment="1">
      <alignment horizontal="right"/>
      <protection/>
    </xf>
    <xf numFmtId="3" fontId="15" fillId="0" borderId="0" xfId="22" applyNumberFormat="1" applyFont="1" applyAlignment="1">
      <alignment horizontal="right"/>
      <protection/>
    </xf>
    <xf numFmtId="9" fontId="17" fillId="0" borderId="0" xfId="15" applyFont="1" applyFill="1" applyBorder="1" applyAlignment="1" applyProtection="1">
      <alignment horizontal="left"/>
      <protection locked="0"/>
    </xf>
    <xf numFmtId="3" fontId="8" fillId="9" borderId="0" xfId="23" applyNumberFormat="1" applyFont="1" applyFill="1" applyAlignment="1">
      <alignment horizontal="right"/>
      <protection/>
    </xf>
    <xf numFmtId="3" fontId="8" fillId="9" borderId="0" xfId="16" applyNumberFormat="1" applyFont="1" applyFill="1" applyBorder="1" applyAlignment="1" applyProtection="1">
      <alignment horizontal="right"/>
      <protection/>
    </xf>
    <xf numFmtId="0" fontId="1" fillId="10" borderId="0" xfId="0" applyFont="1" applyFill="1"/>
    <xf numFmtId="0" fontId="30" fillId="10" borderId="0" xfId="0" applyFont="1" applyFill="1" applyAlignment="1">
      <alignment horizontal="center"/>
    </xf>
    <xf numFmtId="167" fontId="31" fillId="10" borderId="0" xfId="0" applyNumberFormat="1" applyFont="1" applyFill="1" applyAlignment="1">
      <alignment horizontal="center"/>
    </xf>
    <xf numFmtId="166" fontId="1" fillId="10" borderId="0" xfId="0" applyNumberFormat="1" applyFont="1" applyFill="1" applyAlignment="1">
      <alignment horizontal="right"/>
    </xf>
    <xf numFmtId="166" fontId="1" fillId="10" borderId="0" xfId="18" applyNumberFormat="1" applyFont="1" applyFill="1" applyAlignment="1">
      <alignment horizontal="right"/>
    </xf>
    <xf numFmtId="166" fontId="1" fillId="10" borderId="2" xfId="18" applyNumberFormat="1" applyFont="1" applyFill="1" applyBorder="1" applyAlignment="1">
      <alignment horizontal="right"/>
    </xf>
    <xf numFmtId="166" fontId="1" fillId="10" borderId="0" xfId="18" applyNumberFormat="1" applyFont="1" applyFill="1" applyBorder="1" applyAlignment="1">
      <alignment horizontal="right"/>
    </xf>
    <xf numFmtId="166" fontId="32" fillId="10" borderId="0" xfId="0" applyNumberFormat="1" applyFont="1" applyFill="1" applyAlignment="1">
      <alignment horizontal="right"/>
    </xf>
    <xf numFmtId="166" fontId="1" fillId="10" borderId="7" xfId="18" applyNumberFormat="1" applyFont="1" applyFill="1" applyBorder="1" applyAlignment="1">
      <alignment horizontal="right"/>
    </xf>
    <xf numFmtId="168" fontId="1" fillId="10" borderId="7" xfId="16" applyNumberFormat="1" applyFont="1" applyFill="1" applyBorder="1" applyAlignment="1">
      <alignment horizontal="right"/>
    </xf>
    <xf numFmtId="0" fontId="33" fillId="10" borderId="0" xfId="0" applyFont="1" applyFill="1" applyAlignment="1">
      <alignment horizontal="right"/>
    </xf>
    <xf numFmtId="166" fontId="34" fillId="10" borderId="0" xfId="0" applyNumberFormat="1" applyFont="1" applyFill="1" applyAlignment="1">
      <alignment horizontal="right"/>
    </xf>
    <xf numFmtId="0" fontId="1" fillId="10" borderId="0" xfId="0" applyFont="1" applyFill="1" applyAlignment="1">
      <alignment horizontal="right"/>
    </xf>
    <xf numFmtId="166" fontId="1" fillId="10" borderId="0" xfId="0" applyNumberFormat="1" applyFont="1" applyFill="1"/>
    <xf numFmtId="166" fontId="1" fillId="10" borderId="0" xfId="18" applyNumberFormat="1" applyFont="1" applyFill="1"/>
    <xf numFmtId="9" fontId="1" fillId="10" borderId="0" xfId="15" applyFont="1" applyFill="1"/>
    <xf numFmtId="169" fontId="1" fillId="10" borderId="0" xfId="15" applyNumberFormat="1" applyFont="1" applyFill="1"/>
    <xf numFmtId="0" fontId="10" fillId="10" borderId="0" xfId="0" applyFont="1" applyFill="1"/>
    <xf numFmtId="0" fontId="8" fillId="10" borderId="0" xfId="0" applyFont="1" applyFill="1"/>
    <xf numFmtId="0" fontId="29" fillId="10" borderId="0" xfId="0" applyFont="1" applyFill="1" applyAlignment="1">
      <alignment horizontal="center"/>
    </xf>
    <xf numFmtId="166" fontId="35" fillId="0" borderId="0" xfId="18" applyNumberFormat="1" applyFont="1" applyAlignment="1">
      <alignment horizontal="center"/>
    </xf>
    <xf numFmtId="9" fontId="17" fillId="0" borderId="0" xfId="24" applyNumberFormat="1" applyFont="1" applyAlignment="1">
      <alignment horizontal="left"/>
      <protection/>
    </xf>
    <xf numFmtId="0" fontId="31" fillId="0" borderId="0" xfId="0" applyFont="1"/>
    <xf numFmtId="0" fontId="1" fillId="0" borderId="0" xfId="0" applyFont="1" applyAlignment="1">
      <alignment horizontal="left" indent="1"/>
    </xf>
    <xf numFmtId="3" fontId="2" fillId="0" borderId="0" xfId="20" applyNumberFormat="1" applyFill="1" applyBorder="1" applyAlignment="1" applyProtection="1">
      <alignment horizontal="right"/>
      <protection/>
    </xf>
    <xf numFmtId="166" fontId="1" fillId="0" borderId="0" xfId="0" applyNumberFormat="1" applyFont="1" applyAlignment="1">
      <alignment horizontal="right"/>
    </xf>
    <xf numFmtId="166" fontId="1" fillId="0" borderId="0" xfId="18" applyNumberFormat="1" applyFont="1" applyFill="1" applyAlignment="1">
      <alignment horizontal="right"/>
    </xf>
    <xf numFmtId="3" fontId="17" fillId="0" borderId="0" xfId="23" applyNumberFormat="1" applyFont="1" applyAlignment="1" applyProtection="1">
      <alignment horizontal="right"/>
      <protection locked="0"/>
    </xf>
    <xf numFmtId="166" fontId="1" fillId="0" borderId="2" xfId="18" applyNumberFormat="1" applyFont="1" applyFill="1" applyBorder="1" applyAlignment="1">
      <alignment horizontal="right"/>
    </xf>
    <xf numFmtId="166" fontId="1" fillId="0" borderId="0" xfId="18" applyNumberFormat="1" applyFont="1" applyFill="1" applyBorder="1" applyAlignment="1">
      <alignment horizontal="right"/>
    </xf>
    <xf numFmtId="0" fontId="32" fillId="0" borderId="0" xfId="0" applyFont="1"/>
    <xf numFmtId="166" fontId="32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166" fontId="1" fillId="0" borderId="7" xfId="18" applyNumberFormat="1" applyFont="1" applyFill="1" applyBorder="1" applyAlignment="1">
      <alignment horizontal="right"/>
    </xf>
    <xf numFmtId="168" fontId="1" fillId="0" borderId="7" xfId="16" applyNumberFormat="1" applyFont="1" applyFill="1" applyBorder="1" applyAlignment="1">
      <alignment horizontal="right"/>
    </xf>
    <xf numFmtId="0" fontId="33" fillId="0" borderId="0" xfId="0" applyFont="1"/>
    <xf numFmtId="0" fontId="33" fillId="0" borderId="0" xfId="0" applyFont="1" applyAlignment="1">
      <alignment horizontal="right"/>
    </xf>
    <xf numFmtId="166" fontId="34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" fontId="11" fillId="0" borderId="0" xfId="21" applyNumberFormat="1" applyFont="1" applyFill="1" applyBorder="1" applyAlignment="1" applyProtection="1">
      <alignment horizontal="right"/>
      <protection/>
    </xf>
    <xf numFmtId="3" fontId="3" fillId="0" borderId="0" xfId="21" applyNumberFormat="1" applyFill="1" applyBorder="1" applyAlignment="1" applyProtection="1">
      <alignment horizontal="right"/>
      <protection/>
    </xf>
    <xf numFmtId="166" fontId="1" fillId="0" borderId="0" xfId="0" applyNumberFormat="1" applyFont="1"/>
    <xf numFmtId="3" fontId="5" fillId="0" borderId="0" xfId="22" applyNumberFormat="1" applyFont="1" applyAlignment="1">
      <alignment horizontal="right"/>
      <protection/>
    </xf>
    <xf numFmtId="0" fontId="1" fillId="0" borderId="0" xfId="0" applyFont="1" applyAlignment="1">
      <alignment horizontal="left"/>
    </xf>
    <xf numFmtId="166" fontId="1" fillId="0" borderId="0" xfId="18" applyNumberFormat="1" applyFont="1" applyFill="1"/>
    <xf numFmtId="9" fontId="1" fillId="0" borderId="0" xfId="15" applyFont="1" applyFill="1"/>
    <xf numFmtId="169" fontId="1" fillId="0" borderId="0" xfId="15" applyNumberFormat="1" applyFont="1" applyFill="1"/>
    <xf numFmtId="3" fontId="0" fillId="0" borderId="0" xfId="16" applyNumberFormat="1" applyFont="1" applyFill="1"/>
    <xf numFmtId="0" fontId="31" fillId="9" borderId="0" xfId="0" applyFont="1" applyFill="1"/>
    <xf numFmtId="167" fontId="31" fillId="9" borderId="0" xfId="0" applyNumberFormat="1" applyFont="1" applyFill="1" applyAlignment="1">
      <alignment horizontal="center"/>
    </xf>
    <xf numFmtId="3" fontId="8" fillId="9" borderId="0" xfId="24" applyNumberFormat="1" applyFont="1" applyFill="1" applyAlignment="1">
      <alignment horizontal="right"/>
      <protection/>
    </xf>
    <xf numFmtId="166" fontId="1" fillId="9" borderId="0" xfId="0" applyNumberFormat="1" applyFont="1" applyFill="1" applyAlignment="1">
      <alignment horizontal="right"/>
    </xf>
    <xf numFmtId="0" fontId="31" fillId="9" borderId="0" xfId="0" applyFont="1" applyFill="1" applyAlignment="1">
      <alignment horizontal="center"/>
    </xf>
    <xf numFmtId="3" fontId="8" fillId="9" borderId="0" xfId="24" applyNumberFormat="1" applyFont="1" applyFill="1">
      <alignment/>
      <protection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3" fontId="11" fillId="9" borderId="0" xfId="21" applyNumberFormat="1" applyFont="1" applyFill="1" applyBorder="1" applyAlignment="1" applyProtection="1">
      <alignment horizontal="right"/>
      <protection/>
    </xf>
    <xf numFmtId="43" fontId="1" fillId="0" borderId="2" xfId="18" applyFont="1" applyFill="1" applyBorder="1" applyAlignment="1">
      <alignment horizontal="right"/>
    </xf>
    <xf numFmtId="3" fontId="37" fillId="0" borderId="0" xfId="16" applyNumberFormat="1" applyFont="1" applyFill="1" applyBorder="1" applyAlignment="1" applyProtection="1">
      <alignment horizontal="right"/>
      <protection locked="0"/>
    </xf>
    <xf numFmtId="3" fontId="38" fillId="2" borderId="0" xfId="20" applyNumberFormat="1" applyFont="1" applyBorder="1" applyProtection="1">
      <protection/>
    </xf>
    <xf numFmtId="3" fontId="27" fillId="11" borderId="0" xfId="21" applyNumberFormat="1" applyFont="1" applyFill="1" applyBorder="1" applyProtection="1">
      <protection/>
    </xf>
    <xf numFmtId="3" fontId="27" fillId="3" borderId="0" xfId="21" applyNumberFormat="1" applyFont="1" applyBorder="1" applyProtection="1">
      <protection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39" fillId="0" borderId="0" xfId="0" applyNumberFormat="1" applyFont="1"/>
    <xf numFmtId="3" fontId="40" fillId="2" borderId="0" xfId="20" applyNumberFormat="1" applyFont="1" applyBorder="1" applyAlignment="1" applyProtection="1">
      <alignment horizontal="right"/>
      <protection/>
    </xf>
    <xf numFmtId="3" fontId="40" fillId="5" borderId="0" xfId="20" applyNumberFormat="1" applyFont="1" applyFill="1" applyBorder="1" applyAlignment="1" applyProtection="1">
      <alignment horizontal="right"/>
      <protection/>
    </xf>
    <xf numFmtId="3" fontId="41" fillId="5" borderId="0" xfId="21" applyNumberFormat="1" applyFont="1" applyFill="1" applyBorder="1" applyAlignment="1" applyProtection="1">
      <alignment horizontal="right"/>
      <protection/>
    </xf>
    <xf numFmtId="3" fontId="8" fillId="11" borderId="0" xfId="21" applyNumberFormat="1" applyFont="1" applyFill="1" applyBorder="1" applyAlignment="1" applyProtection="1">
      <alignment horizontal="right"/>
      <protection/>
    </xf>
    <xf numFmtId="3" fontId="8" fillId="5" borderId="0" xfId="21" applyNumberFormat="1" applyFont="1" applyFill="1" applyBorder="1" applyAlignment="1" applyProtection="1">
      <alignment horizontal="right"/>
      <protection/>
    </xf>
    <xf numFmtId="3" fontId="41" fillId="12" borderId="0" xfId="21" applyNumberFormat="1" applyFont="1" applyFill="1" applyBorder="1" applyProtection="1">
      <protection/>
    </xf>
    <xf numFmtId="3" fontId="41" fillId="12" borderId="0" xfId="21" applyNumberFormat="1" applyFont="1" applyFill="1" applyBorder="1" applyAlignment="1" applyProtection="1">
      <alignment horizontal="right"/>
      <protection/>
    </xf>
    <xf numFmtId="3" fontId="41" fillId="12" borderId="0" xfId="16" applyNumberFormat="1" applyFont="1" applyFill="1" applyBorder="1" applyAlignment="1" applyProtection="1">
      <alignment horizontal="right"/>
      <protection/>
    </xf>
    <xf numFmtId="3" fontId="41" fillId="5" borderId="0" xfId="16" applyNumberFormat="1" applyFont="1" applyFill="1" applyBorder="1" applyAlignment="1" applyProtection="1">
      <alignment horizontal="right"/>
      <protection/>
    </xf>
    <xf numFmtId="3" fontId="8" fillId="3" borderId="0" xfId="21" applyNumberFormat="1" applyFont="1" applyBorder="1" applyAlignment="1" applyProtection="1">
      <alignment horizontal="right"/>
      <protection/>
    </xf>
    <xf numFmtId="3" fontId="39" fillId="5" borderId="0" xfId="0" applyNumberFormat="1" applyFont="1" applyFill="1"/>
    <xf numFmtId="3" fontId="39" fillId="12" borderId="0" xfId="0" applyNumberFormat="1" applyFont="1" applyFill="1"/>
    <xf numFmtId="3" fontId="39" fillId="0" borderId="0" xfId="16" applyNumberFormat="1" applyFont="1" applyBorder="1"/>
    <xf numFmtId="3" fontId="8" fillId="9" borderId="0" xfId="20" applyNumberFormat="1" applyFont="1" applyFill="1" applyBorder="1" applyAlignment="1" applyProtection="1">
      <alignment horizontal="right"/>
      <protection/>
    </xf>
    <xf numFmtId="3" fontId="14" fillId="5" borderId="0" xfId="16" applyNumberFormat="1" applyFont="1" applyFill="1" applyBorder="1" applyAlignment="1" applyProtection="1">
      <alignment horizontal="right"/>
      <protection/>
    </xf>
    <xf numFmtId="3" fontId="8" fillId="2" borderId="0" xfId="20" applyNumberFormat="1" applyFont="1" applyBorder="1" applyAlignment="1" applyProtection="1">
      <alignment horizontal="right"/>
      <protection/>
    </xf>
    <xf numFmtId="3" fontId="8" fillId="5" borderId="0" xfId="0" applyNumberFormat="1" applyFont="1" applyFill="1" applyAlignment="1">
      <alignment vertical="center"/>
    </xf>
    <xf numFmtId="3" fontId="5" fillId="6" borderId="0" xfId="23" applyNumberFormat="1" applyFont="1" applyFill="1">
      <alignment/>
      <protection/>
    </xf>
    <xf numFmtId="3" fontId="5" fillId="6" borderId="0" xfId="23" applyNumberFormat="1" applyFont="1" applyFill="1" applyAlignment="1">
      <alignment horizontal="center"/>
      <protection/>
    </xf>
    <xf numFmtId="3" fontId="14" fillId="5" borderId="0" xfId="21" applyNumberFormat="1" applyFont="1" applyFill="1" applyBorder="1" applyAlignment="1" applyProtection="1">
      <alignment horizontal="right"/>
      <protection/>
    </xf>
    <xf numFmtId="3" fontId="27" fillId="2" borderId="0" xfId="20" applyNumberFormat="1" applyFont="1" applyBorder="1" applyProtection="1">
      <protection/>
    </xf>
    <xf numFmtId="3" fontId="15" fillId="0" borderId="0" xfId="22" applyNumberFormat="1" applyFont="1">
      <alignment/>
      <protection/>
    </xf>
    <xf numFmtId="0" fontId="9" fillId="5" borderId="0" xfId="0" applyFont="1" applyFill="1" applyAlignment="1">
      <alignment vertical="center"/>
    </xf>
    <xf numFmtId="0" fontId="39" fillId="0" borderId="0" xfId="0" applyFont="1"/>
    <xf numFmtId="0" fontId="6" fillId="6" borderId="0" xfId="22" applyFont="1" applyFill="1">
      <alignment/>
      <protection/>
    </xf>
    <xf numFmtId="0" fontId="6" fillId="5" borderId="0" xfId="22" applyFont="1" applyFill="1">
      <alignment/>
      <protection/>
    </xf>
    <xf numFmtId="0" fontId="6" fillId="6" borderId="0" xfId="22" applyFont="1" applyFill="1" applyAlignment="1">
      <alignment horizontal="center"/>
      <protection/>
    </xf>
    <xf numFmtId="0" fontId="9" fillId="7" borderId="0" xfId="26" applyFont="1" applyFill="1">
      <alignment/>
      <protection/>
    </xf>
    <xf numFmtId="0" fontId="9" fillId="5" borderId="0" xfId="26" applyFont="1" applyFill="1">
      <alignment/>
      <protection/>
    </xf>
    <xf numFmtId="0" fontId="9" fillId="5" borderId="0" xfId="26" applyFont="1" applyFill="1" applyAlignment="1">
      <alignment horizontal="center"/>
      <protection/>
    </xf>
    <xf numFmtId="42" fontId="8" fillId="0" borderId="0" xfId="16" applyNumberFormat="1" applyFont="1" applyFill="1" applyBorder="1" applyAlignment="1" applyProtection="1">
      <alignment horizontal="right"/>
      <protection/>
    </xf>
    <xf numFmtId="44" fontId="40" fillId="5" borderId="0" xfId="16" applyFont="1" applyFill="1" applyBorder="1" applyAlignment="1" applyProtection="1">
      <alignment horizontal="right"/>
      <protection/>
    </xf>
    <xf numFmtId="5" fontId="8" fillId="0" borderId="0" xfId="16" applyNumberFormat="1" applyFont="1" applyFill="1" applyBorder="1" applyAlignment="1" applyProtection="1">
      <alignment horizontal="right"/>
      <protection/>
    </xf>
    <xf numFmtId="44" fontId="8" fillId="5" borderId="0" xfId="16" applyFont="1" applyFill="1" applyBorder="1" applyAlignment="1" applyProtection="1">
      <alignment horizontal="left"/>
      <protection/>
    </xf>
    <xf numFmtId="5" fontId="8" fillId="0" borderId="0" xfId="16" applyNumberFormat="1" applyFont="1" applyFill="1" applyBorder="1" applyAlignment="1" applyProtection="1">
      <alignment horizontal="right"/>
      <protection locked="0"/>
    </xf>
    <xf numFmtId="44" fontId="8" fillId="5" borderId="0" xfId="16" applyFont="1" applyFill="1" applyBorder="1" applyAlignment="1" applyProtection="1">
      <alignment horizontal="left"/>
      <protection locked="0"/>
    </xf>
    <xf numFmtId="44" fontId="44" fillId="5" borderId="0" xfId="16" applyFont="1" applyFill="1" applyBorder="1" applyAlignment="1" applyProtection="1">
      <alignment horizontal="right"/>
      <protection/>
    </xf>
    <xf numFmtId="0" fontId="9" fillId="5" borderId="0" xfId="22" applyFont="1" applyFill="1">
      <alignment/>
      <protection/>
    </xf>
    <xf numFmtId="0" fontId="9" fillId="7" borderId="0" xfId="22" applyFont="1" applyFill="1">
      <alignment/>
      <protection/>
    </xf>
    <xf numFmtId="0" fontId="9" fillId="0" borderId="0" xfId="25" applyFont="1" applyFill="1" applyBorder="1" applyProtection="1">
      <protection/>
    </xf>
    <xf numFmtId="6" fontId="9" fillId="0" borderId="0" xfId="25" applyNumberFormat="1" applyFont="1" applyFill="1" applyBorder="1" applyAlignment="1" applyProtection="1">
      <alignment horizontal="right"/>
      <protection/>
    </xf>
    <xf numFmtId="6" fontId="9" fillId="5" borderId="0" xfId="25" applyNumberFormat="1" applyFont="1" applyFill="1" applyBorder="1" applyAlignment="1" applyProtection="1">
      <alignment horizontal="right"/>
      <protection/>
    </xf>
    <xf numFmtId="44" fontId="8" fillId="0" borderId="0" xfId="16" applyFont="1" applyFill="1" applyBorder="1" applyAlignment="1" applyProtection="1">
      <alignment horizontal="right"/>
      <protection locked="0"/>
    </xf>
    <xf numFmtId="44" fontId="40" fillId="5" borderId="0" xfId="16" applyFont="1" applyFill="1" applyBorder="1" applyAlignment="1" applyProtection="1">
      <alignment horizontal="left"/>
      <protection locked="0"/>
    </xf>
    <xf numFmtId="44" fontId="40" fillId="0" borderId="0" xfId="16" applyFont="1" applyFill="1" applyBorder="1" applyAlignment="1" applyProtection="1">
      <alignment horizontal="right"/>
      <protection locked="0"/>
    </xf>
    <xf numFmtId="44" fontId="9" fillId="5" borderId="0" xfId="16" applyFont="1" applyFill="1" applyBorder="1" applyAlignment="1" applyProtection="1">
      <alignment horizontal="left"/>
      <protection/>
    </xf>
    <xf numFmtId="0" fontId="9" fillId="0" borderId="0" xfId="25" applyFont="1" applyFill="1" applyBorder="1" applyAlignment="1" applyProtection="1">
      <alignment horizontal="left"/>
      <protection/>
    </xf>
    <xf numFmtId="6" fontId="9" fillId="5" borderId="0" xfId="25" applyNumberFormat="1" applyFont="1" applyFill="1" applyBorder="1" applyAlignment="1" applyProtection="1">
      <alignment horizontal="left"/>
      <protection/>
    </xf>
    <xf numFmtId="44" fontId="9" fillId="0" borderId="0" xfId="16" applyFont="1" applyFill="1" applyBorder="1" applyAlignment="1" applyProtection="1">
      <alignment horizontal="right"/>
      <protection/>
    </xf>
    <xf numFmtId="0" fontId="42" fillId="5" borderId="0" xfId="0" applyFont="1" applyFill="1"/>
    <xf numFmtId="0" fontId="42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9" fillId="13" borderId="0" xfId="25" applyFont="1" applyFill="1" applyBorder="1" applyProtection="1">
      <protection/>
    </xf>
    <xf numFmtId="42" fontId="9" fillId="13" borderId="0" xfId="16" applyNumberFormat="1" applyFont="1" applyFill="1" applyBorder="1" applyAlignment="1" applyProtection="1">
      <alignment horizontal="right"/>
      <protection/>
    </xf>
    <xf numFmtId="0" fontId="9" fillId="13" borderId="0" xfId="22" applyFont="1" applyFill="1">
      <alignment/>
      <protection/>
    </xf>
    <xf numFmtId="6" fontId="9" fillId="13" borderId="0" xfId="22" applyNumberFormat="1" applyFont="1" applyFill="1">
      <alignment/>
      <protection/>
    </xf>
    <xf numFmtId="166" fontId="45" fillId="5" borderId="0" xfId="18" applyNumberFormat="1" applyFont="1" applyFill="1" applyBorder="1"/>
    <xf numFmtId="166" fontId="45" fillId="0" borderId="0" xfId="18" applyNumberFormat="1" applyFont="1" applyBorder="1"/>
    <xf numFmtId="9" fontId="8" fillId="14" borderId="0" xfId="16" applyNumberFormat="1" applyFont="1" applyFill="1" applyBorder="1" applyAlignment="1" applyProtection="1">
      <alignment horizontal="center" vertical="center"/>
      <protection/>
    </xf>
    <xf numFmtId="3" fontId="15" fillId="5" borderId="0" xfId="0" applyNumberFormat="1" applyFont="1" applyFill="1" applyAlignment="1">
      <alignment horizontal="left" vertical="center"/>
    </xf>
    <xf numFmtId="3" fontId="15" fillId="5" borderId="0" xfId="22" applyNumberFormat="1" applyFont="1" applyFill="1" applyAlignment="1">
      <alignment horizontal="center" vertical="center"/>
      <protection/>
    </xf>
    <xf numFmtId="3" fontId="25" fillId="5" borderId="0" xfId="18" applyNumberFormat="1" applyFont="1" applyFill="1" applyBorder="1"/>
    <xf numFmtId="3" fontId="25" fillId="0" borderId="0" xfId="18" applyNumberFormat="1" applyFont="1" applyBorder="1"/>
    <xf numFmtId="3" fontId="8" fillId="15" borderId="0" xfId="22" applyNumberFormat="1" applyFont="1" applyFill="1" applyAlignment="1">
      <alignment horizontal="right" vertical="center"/>
      <protection/>
    </xf>
    <xf numFmtId="3" fontId="25" fillId="0" borderId="0" xfId="18" applyNumberFormat="1" applyFont="1" applyBorder="1" applyAlignment="1">
      <alignment horizontal="center"/>
    </xf>
    <xf numFmtId="3" fontId="8" fillId="0" borderId="0" xfId="22" applyNumberFormat="1" applyFont="1" applyAlignment="1">
      <alignment horizontal="left" vertical="center"/>
      <protection/>
    </xf>
    <xf numFmtId="3" fontId="15" fillId="5" borderId="0" xfId="22" applyNumberFormat="1" applyFont="1" applyFill="1" applyAlignment="1">
      <alignment vertical="center"/>
      <protection/>
    </xf>
    <xf numFmtId="3" fontId="8" fillId="0" borderId="0" xfId="22" applyNumberFormat="1" applyFont="1" applyAlignment="1" applyProtection="1">
      <alignment horizontal="center" vertical="center"/>
      <protection locked="0"/>
    </xf>
    <xf numFmtId="3" fontId="8" fillId="0" borderId="0" xfId="22" applyNumberFormat="1" applyFont="1" applyAlignment="1">
      <alignment horizontal="center" vertical="center"/>
      <protection/>
    </xf>
    <xf numFmtId="3" fontId="15" fillId="5" borderId="0" xfId="22" applyNumberFormat="1" applyFont="1" applyFill="1" applyAlignment="1">
      <alignment horizontal="right" vertical="center"/>
      <protection/>
    </xf>
    <xf numFmtId="3" fontId="8" fillId="0" borderId="0" xfId="22" applyNumberFormat="1" applyFont="1" applyAlignment="1">
      <alignment vertical="center"/>
      <protection/>
    </xf>
    <xf numFmtId="3" fontId="8" fillId="5" borderId="0" xfId="22" applyNumberFormat="1" applyFont="1" applyFill="1" applyAlignment="1">
      <alignment horizontal="center" vertical="center"/>
      <protection/>
    </xf>
    <xf numFmtId="3" fontId="8" fillId="0" borderId="0" xfId="22" applyNumberFormat="1" applyFont="1" applyAlignment="1" applyProtection="1">
      <alignment horizontal="left" vertical="center"/>
      <protection locked="0"/>
    </xf>
    <xf numFmtId="3" fontId="14" fillId="5" borderId="0" xfId="22" applyNumberFormat="1" applyFont="1" applyFill="1" applyAlignment="1">
      <alignment horizontal="center" vertical="center"/>
      <protection/>
    </xf>
    <xf numFmtId="3" fontId="19" fillId="0" borderId="0" xfId="16" applyNumberFormat="1" applyFont="1" applyFill="1" applyBorder="1" applyAlignment="1" applyProtection="1">
      <alignment horizontal="center" vertical="center"/>
      <protection locked="0"/>
    </xf>
    <xf numFmtId="3" fontId="15" fillId="5" borderId="0" xfId="22" applyNumberFormat="1" applyFont="1" applyFill="1" applyAlignment="1" applyProtection="1">
      <alignment vertical="center"/>
      <protection locked="0"/>
    </xf>
    <xf numFmtId="3" fontId="8" fillId="5" borderId="0" xfId="22" applyNumberFormat="1" applyFont="1" applyFill="1" applyAlignment="1">
      <alignment vertical="center"/>
      <protection/>
    </xf>
    <xf numFmtId="3" fontId="41" fillId="12" borderId="0" xfId="21" applyNumberFormat="1" applyFont="1" applyFill="1" applyBorder="1" applyAlignment="1" applyProtection="1">
      <alignment horizontal="center" vertical="center"/>
      <protection/>
    </xf>
    <xf numFmtId="3" fontId="8" fillId="12" borderId="0" xfId="22" applyNumberFormat="1" applyFont="1" applyFill="1" applyAlignment="1">
      <alignment vertical="center"/>
      <protection/>
    </xf>
    <xf numFmtId="3" fontId="41" fillId="12" borderId="0" xfId="16" applyNumberFormat="1" applyFont="1" applyFill="1" applyBorder="1" applyAlignment="1" applyProtection="1">
      <alignment horizontal="center" vertical="center"/>
      <protection/>
    </xf>
    <xf numFmtId="3" fontId="8" fillId="12" borderId="0" xfId="22" applyNumberFormat="1" applyFont="1" applyFill="1" applyAlignment="1" applyProtection="1">
      <alignment horizontal="left" vertical="center"/>
      <protection locked="0"/>
    </xf>
    <xf numFmtId="3" fontId="8" fillId="12" borderId="0" xfId="22" applyNumberFormat="1" applyFont="1" applyFill="1" applyAlignment="1" applyProtection="1">
      <alignment vertical="center"/>
      <protection locked="0"/>
    </xf>
    <xf numFmtId="3" fontId="47" fillId="12" borderId="0" xfId="22" applyNumberFormat="1" applyFont="1" applyFill="1" applyAlignment="1" applyProtection="1">
      <alignment vertical="center"/>
      <protection locked="0"/>
    </xf>
    <xf numFmtId="3" fontId="39" fillId="12" borderId="0" xfId="16" applyNumberFormat="1" applyFont="1" applyFill="1" applyBorder="1" applyAlignment="1" applyProtection="1">
      <alignment horizontal="center" vertical="center"/>
      <protection/>
    </xf>
    <xf numFmtId="3" fontId="8" fillId="12" borderId="0" xfId="22" applyNumberFormat="1" applyFont="1" applyFill="1" applyAlignment="1">
      <alignment horizontal="right" vertical="center"/>
      <protection/>
    </xf>
    <xf numFmtId="3" fontId="8" fillId="12" borderId="0" xfId="21" applyNumberFormat="1" applyFont="1" applyFill="1" applyBorder="1" applyAlignment="1" applyProtection="1">
      <alignment horizontal="center" vertical="center"/>
      <protection/>
    </xf>
    <xf numFmtId="3" fontId="8" fillId="5" borderId="0" xfId="21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Alignment="1">
      <alignment horizontal="left"/>
    </xf>
    <xf numFmtId="42" fontId="8" fillId="0" borderId="0" xfId="16" applyNumberFormat="1" applyFont="1" applyFill="1" applyBorder="1" applyAlignment="1" applyProtection="1">
      <alignment horizontal="center" vertical="center"/>
      <protection locked="0"/>
    </xf>
    <xf numFmtId="42" fontId="8" fillId="5" borderId="0" xfId="16" applyNumberFormat="1" applyFont="1" applyFill="1" applyBorder="1" applyAlignment="1" applyProtection="1">
      <alignment horizontal="center" vertical="center"/>
      <protection/>
    </xf>
    <xf numFmtId="42" fontId="8" fillId="15" borderId="0" xfId="16" applyNumberFormat="1" applyFont="1" applyFill="1" applyBorder="1" applyAlignment="1" applyProtection="1">
      <alignment horizontal="right" vertical="center"/>
      <protection/>
    </xf>
    <xf numFmtId="42" fontId="8" fillId="0" borderId="0" xfId="16" applyNumberFormat="1" applyFont="1" applyFill="1" applyBorder="1" applyAlignment="1" applyProtection="1">
      <alignment horizontal="center" vertical="center"/>
      <protection/>
    </xf>
    <xf numFmtId="42" fontId="41" fillId="3" borderId="0" xfId="16" applyNumberFormat="1" applyFont="1" applyFill="1" applyBorder="1" applyAlignment="1" applyProtection="1">
      <alignment horizontal="center" vertical="center"/>
      <protection/>
    </xf>
    <xf numFmtId="42" fontId="41" fillId="5" borderId="0" xfId="16" applyNumberFormat="1" applyFont="1" applyFill="1" applyBorder="1" applyAlignment="1" applyProtection="1">
      <alignment horizontal="center" vertical="center"/>
      <protection/>
    </xf>
    <xf numFmtId="42" fontId="8" fillId="9" borderId="0" xfId="16" applyNumberFormat="1" applyFont="1" applyFill="1" applyBorder="1" applyAlignment="1" applyProtection="1">
      <alignment horizontal="center" vertical="center"/>
      <protection/>
    </xf>
    <xf numFmtId="42" fontId="39" fillId="12" borderId="0" xfId="16" applyNumberFormat="1" applyFont="1" applyFill="1" applyBorder="1" applyAlignment="1" applyProtection="1">
      <alignment horizontal="center" vertical="center"/>
      <protection/>
    </xf>
    <xf numFmtId="42" fontId="41" fillId="12" borderId="0" xfId="16" applyNumberFormat="1" applyFont="1" applyFill="1" applyBorder="1" applyAlignment="1" applyProtection="1">
      <alignment horizontal="center" vertical="center"/>
      <protection/>
    </xf>
    <xf numFmtId="42" fontId="8" fillId="12" borderId="0" xfId="16" applyNumberFormat="1" applyFont="1" applyFill="1" applyBorder="1" applyAlignment="1" applyProtection="1">
      <alignment horizontal="right" vertical="center"/>
      <protection/>
    </xf>
    <xf numFmtId="42" fontId="39" fillId="11" borderId="0" xfId="16" applyNumberFormat="1" applyFont="1" applyFill="1" applyBorder="1" applyAlignment="1" applyProtection="1">
      <alignment horizontal="center" vertical="center"/>
      <protection/>
    </xf>
    <xf numFmtId="3" fontId="46" fillId="5" borderId="0" xfId="22" applyNumberFormat="1" applyFont="1" applyFill="1" applyAlignment="1">
      <alignment horizontal="left" vertical="center"/>
      <protection/>
    </xf>
    <xf numFmtId="3" fontId="46" fillId="5" borderId="0" xfId="22" applyNumberFormat="1" applyFont="1" applyFill="1">
      <alignment/>
      <protection/>
    </xf>
    <xf numFmtId="3" fontId="48" fillId="6" borderId="0" xfId="22" applyNumberFormat="1" applyFont="1" applyFill="1">
      <alignment/>
      <protection/>
    </xf>
    <xf numFmtId="3" fontId="27" fillId="9" borderId="0" xfId="20" applyNumberFormat="1" applyFont="1" applyFill="1" applyBorder="1" applyProtection="1">
      <protection/>
    </xf>
    <xf numFmtId="3" fontId="27" fillId="9" borderId="0" xfId="23" applyNumberFormat="1" applyFont="1" applyFill="1">
      <alignment/>
      <protection/>
    </xf>
    <xf numFmtId="3" fontId="27" fillId="8" borderId="0" xfId="23" applyNumberFormat="1" applyFont="1" applyFill="1">
      <alignment/>
      <protection/>
    </xf>
    <xf numFmtId="3" fontId="27" fillId="7" borderId="0" xfId="23" applyNumberFormat="1" applyFont="1" applyFill="1" applyAlignment="1">
      <alignment horizontal="center"/>
      <protection/>
    </xf>
    <xf numFmtId="38" fontId="8" fillId="3" borderId="0" xfId="16" applyNumberFormat="1" applyFont="1" applyFill="1" applyBorder="1" applyAlignment="1" applyProtection="1">
      <alignment horizontal="right"/>
      <protection/>
    </xf>
    <xf numFmtId="38" fontId="8" fillId="5" borderId="0" xfId="16" applyNumberFormat="1" applyFont="1" applyFill="1" applyBorder="1" applyAlignment="1" applyProtection="1">
      <alignment horizontal="right"/>
      <protection/>
    </xf>
    <xf numFmtId="38" fontId="8" fillId="9" borderId="0" xfId="20" applyNumberFormat="1" applyFont="1" applyFill="1" applyBorder="1" applyAlignment="1" applyProtection="1">
      <alignment horizontal="right"/>
      <protection/>
    </xf>
    <xf numFmtId="38" fontId="8" fillId="2" borderId="0" xfId="20" applyNumberFormat="1" applyFont="1" applyBorder="1" applyAlignment="1" applyProtection="1">
      <alignment horizontal="right"/>
      <protection/>
    </xf>
    <xf numFmtId="9" fontId="8" fillId="5" borderId="0" xfId="21" applyNumberFormat="1" applyFont="1" applyFill="1" applyBorder="1" applyAlignment="1" applyProtection="1">
      <alignment horizontal="center" vertical="center"/>
      <protection/>
    </xf>
    <xf numFmtId="3" fontId="27" fillId="12" borderId="0" xfId="20" applyNumberFormat="1" applyFont="1" applyFill="1" applyBorder="1" applyProtection="1">
      <protection/>
    </xf>
    <xf numFmtId="3" fontId="8" fillId="12" borderId="0" xfId="20" applyNumberFormat="1" applyFont="1" applyFill="1" applyBorder="1" applyAlignment="1" applyProtection="1">
      <alignment horizontal="right"/>
      <protection/>
    </xf>
    <xf numFmtId="38" fontId="8" fillId="12" borderId="0" xfId="20" applyNumberFormat="1" applyFont="1" applyFill="1" applyBorder="1" applyAlignment="1" applyProtection="1">
      <alignment horizontal="right"/>
      <protection/>
    </xf>
    <xf numFmtId="3" fontId="27" fillId="15" borderId="0" xfId="20" applyNumberFormat="1" applyFont="1" applyFill="1" applyBorder="1" applyProtection="1">
      <protection/>
    </xf>
    <xf numFmtId="3" fontId="8" fillId="15" borderId="0" xfId="20" applyNumberFormat="1" applyFont="1" applyFill="1" applyBorder="1" applyAlignment="1" applyProtection="1">
      <alignment horizontal="right"/>
      <protection/>
    </xf>
    <xf numFmtId="9" fontId="8" fillId="15" borderId="0" xfId="20" applyNumberFormat="1" applyFont="1" applyFill="1" applyBorder="1" applyAlignment="1" applyProtection="1">
      <alignment horizontal="right"/>
      <protection/>
    </xf>
    <xf numFmtId="9" fontId="39" fillId="5" borderId="0" xfId="0" applyNumberFormat="1" applyFont="1" applyFill="1"/>
    <xf numFmtId="5" fontId="39" fillId="0" borderId="0" xfId="0" applyNumberFormat="1" applyFont="1"/>
    <xf numFmtId="0" fontId="17" fillId="0" borderId="0" xfId="0" applyFont="1"/>
    <xf numFmtId="4" fontId="25" fillId="0" borderId="0" xfId="18" applyNumberFormat="1" applyFont="1" applyBorder="1"/>
    <xf numFmtId="0" fontId="5" fillId="6" borderId="0" xfId="23" applyFont="1" applyFill="1" applyAlignment="1">
      <alignment horizontal="center"/>
      <protection/>
    </xf>
    <xf numFmtId="166" fontId="45" fillId="0" borderId="0" xfId="18" applyNumberFormat="1" applyFont="1"/>
    <xf numFmtId="166" fontId="25" fillId="0" borderId="0" xfId="18" applyNumberFormat="1" applyFont="1" applyAlignment="1">
      <alignment horizontal="right"/>
    </xf>
    <xf numFmtId="0" fontId="8" fillId="5" borderId="0" xfId="0" applyFont="1" applyFill="1"/>
    <xf numFmtId="166" fontId="25" fillId="0" borderId="0" xfId="18" applyNumberFormat="1" applyFont="1"/>
    <xf numFmtId="0" fontId="8" fillId="0" borderId="0" xfId="0" applyFont="1" applyAlignment="1">
      <alignment horizontal="right"/>
    </xf>
    <xf numFmtId="168" fontId="25" fillId="0" borderId="0" xfId="18" applyNumberFormat="1" applyFont="1" applyBorder="1"/>
    <xf numFmtId="166" fontId="45" fillId="13" borderId="0" xfId="18" applyNumberFormat="1" applyFont="1" applyFill="1"/>
    <xf numFmtId="0" fontId="8" fillId="13" borderId="0" xfId="0" applyFont="1" applyFill="1"/>
    <xf numFmtId="168" fontId="25" fillId="13" borderId="0" xfId="18" applyNumberFormat="1" applyFont="1" applyFill="1" applyBorder="1"/>
    <xf numFmtId="166" fontId="45" fillId="5" borderId="0" xfId="18" applyNumberFormat="1" applyFont="1" applyFill="1"/>
    <xf numFmtId="9" fontId="25" fillId="0" borderId="0" xfId="15" applyFont="1" applyBorder="1"/>
    <xf numFmtId="0" fontId="8" fillId="0" borderId="0" xfId="0" applyFont="1"/>
    <xf numFmtId="170" fontId="45" fillId="0" borderId="0" xfId="18" applyNumberFormat="1" applyFont="1"/>
    <xf numFmtId="0" fontId="39" fillId="5" borderId="0" xfId="0" applyFont="1" applyFill="1"/>
    <xf numFmtId="166" fontId="49" fillId="0" borderId="0" xfId="18" applyNumberFormat="1" applyFont="1" applyAlignment="1">
      <alignment horizontal="left"/>
    </xf>
    <xf numFmtId="166" fontId="49" fillId="13" borderId="0" xfId="18" applyNumberFormat="1" applyFont="1" applyFill="1"/>
    <xf numFmtId="166" fontId="45" fillId="0" borderId="2" xfId="18" applyNumberFormat="1" applyFont="1" applyBorder="1"/>
    <xf numFmtId="166" fontId="45" fillId="5" borderId="2" xfId="18" applyNumberFormat="1" applyFont="1" applyFill="1" applyBorder="1"/>
    <xf numFmtId="166" fontId="45" fillId="0" borderId="8" xfId="18" applyNumberFormat="1" applyFont="1" applyBorder="1"/>
    <xf numFmtId="0" fontId="8" fillId="0" borderId="9" xfId="0" applyFont="1" applyBorder="1"/>
    <xf numFmtId="166" fontId="45" fillId="5" borderId="9" xfId="18" applyNumberFormat="1" applyFont="1" applyFill="1" applyBorder="1"/>
    <xf numFmtId="9" fontId="25" fillId="0" borderId="9" xfId="15" applyFont="1" applyBorder="1" applyAlignment="1">
      <alignment horizontal="center"/>
    </xf>
    <xf numFmtId="9" fontId="25" fillId="0" borderId="10" xfId="15" applyFont="1" applyBorder="1" applyAlignment="1">
      <alignment horizontal="center"/>
    </xf>
    <xf numFmtId="9" fontId="9" fillId="0" borderId="0" xfId="0" applyNumberFormat="1" applyFont="1" applyAlignment="1">
      <alignment horizontal="left"/>
    </xf>
    <xf numFmtId="9" fontId="45" fillId="0" borderId="0" xfId="18" applyNumberFormat="1" applyFont="1"/>
    <xf numFmtId="9" fontId="45" fillId="13" borderId="0" xfId="18" applyNumberFormat="1" applyFont="1" applyFill="1"/>
    <xf numFmtId="9" fontId="9" fillId="0" borderId="0" xfId="0" applyNumberFormat="1" applyFont="1" applyAlignment="1">
      <alignment horizontal="right"/>
    </xf>
    <xf numFmtId="166" fontId="25" fillId="0" borderId="0" xfId="18" applyNumberFormat="1" applyFont="1" applyAlignment="1">
      <alignment horizontal="left"/>
    </xf>
    <xf numFmtId="166" fontId="25" fillId="5" borderId="0" xfId="18" applyNumberFormat="1" applyFont="1" applyFill="1"/>
    <xf numFmtId="42" fontId="45" fillId="0" borderId="2" xfId="16" applyNumberFormat="1" applyFont="1" applyBorder="1"/>
    <xf numFmtId="42" fontId="25" fillId="0" borderId="0" xfId="18" applyNumberFormat="1" applyFont="1" applyBorder="1"/>
    <xf numFmtId="42" fontId="25" fillId="0" borderId="0" xfId="18" applyNumberFormat="1" applyFont="1"/>
    <xf numFmtId="42" fontId="39" fillId="0" borderId="0" xfId="0" applyNumberFormat="1" applyFont="1"/>
    <xf numFmtId="42" fontId="25" fillId="0" borderId="0" xfId="15" applyNumberFormat="1" applyFont="1"/>
    <xf numFmtId="42" fontId="45" fillId="0" borderId="0" xfId="18" applyNumberFormat="1" applyFont="1"/>
    <xf numFmtId="42" fontId="25" fillId="13" borderId="0" xfId="18" applyNumberFormat="1" applyFont="1" applyFill="1" applyBorder="1"/>
    <xf numFmtId="42" fontId="25" fillId="13" borderId="0" xfId="18" applyNumberFormat="1" applyFont="1" applyFill="1"/>
    <xf numFmtId="42" fontId="39" fillId="13" borderId="0" xfId="0" applyNumberFormat="1" applyFont="1" applyFill="1"/>
    <xf numFmtId="42" fontId="25" fillId="0" borderId="2" xfId="18" applyNumberFormat="1" applyFont="1" applyBorder="1"/>
    <xf numFmtId="42" fontId="39" fillId="0" borderId="0" xfId="16" applyNumberFormat="1" applyFont="1"/>
    <xf numFmtId="42" fontId="25" fillId="0" borderId="0" xfId="16" applyNumberFormat="1" applyFont="1"/>
    <xf numFmtId="166" fontId="45" fillId="0" borderId="9" xfId="18" applyNumberFormat="1" applyFont="1" applyBorder="1"/>
    <xf numFmtId="0" fontId="39" fillId="5" borderId="9" xfId="0" applyFont="1" applyFill="1" applyBorder="1"/>
    <xf numFmtId="9" fontId="39" fillId="0" borderId="9" xfId="0" applyNumberFormat="1" applyFont="1" applyBorder="1"/>
    <xf numFmtId="42" fontId="43" fillId="13" borderId="0" xfId="0" applyNumberFormat="1" applyFont="1" applyFill="1"/>
    <xf numFmtId="166" fontId="36" fillId="0" borderId="0" xfId="18" applyNumberFormat="1" applyFont="1" applyBorder="1" applyAlignment="1">
      <alignment horizontal="center"/>
    </xf>
    <xf numFmtId="3" fontId="26" fillId="12" borderId="0" xfId="0" applyNumberFormat="1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" vertical="center"/>
    </xf>
    <xf numFmtId="3" fontId="36" fillId="0" borderId="0" xfId="18" applyNumberFormat="1" applyFont="1" applyAlignment="1">
      <alignment horizontal="center"/>
    </xf>
    <xf numFmtId="3" fontId="26" fillId="12" borderId="0" xfId="0" applyNumberFormat="1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9" fontId="8" fillId="5" borderId="0" xfId="16" applyNumberFormat="1" applyFont="1" applyFill="1" applyBorder="1" applyAlignment="1" applyProtection="1">
      <alignment horizontal="center" vertical="center"/>
      <protection/>
    </xf>
    <xf numFmtId="170" fontId="45" fillId="5" borderId="0" xfId="18" applyNumberFormat="1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8" fontId="9" fillId="0" borderId="0" xfId="18" applyNumberFormat="1" applyFont="1"/>
    <xf numFmtId="168" fontId="8" fillId="0" borderId="0" xfId="18" applyNumberFormat="1" applyFont="1"/>
    <xf numFmtId="3" fontId="14" fillId="0" borderId="0" xfId="16" applyNumberFormat="1" applyFont="1" applyBorder="1" applyAlignment="1" applyProtection="1">
      <alignment horizontal="right"/>
      <protection locked="0"/>
    </xf>
    <xf numFmtId="0" fontId="42" fillId="5" borderId="0" xfId="0" applyFont="1" applyFill="1" applyAlignment="1">
      <alignment horizontal="center"/>
    </xf>
    <xf numFmtId="0" fontId="9" fillId="13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6" fillId="12" borderId="0" xfId="0" applyFont="1" applyFill="1" applyAlignment="1">
      <alignment horizontal="center" vertical="center"/>
    </xf>
    <xf numFmtId="0" fontId="9" fillId="7" borderId="0" xfId="26" applyFont="1" applyFill="1" applyAlignment="1">
      <alignment horizontal="center"/>
      <protection/>
    </xf>
    <xf numFmtId="0" fontId="16" fillId="12" borderId="0" xfId="0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3" fontId="46" fillId="5" borderId="0" xfId="0" applyNumberFormat="1" applyFont="1" applyFill="1" applyAlignment="1">
      <alignment horizontal="center" vertical="center"/>
    </xf>
    <xf numFmtId="3" fontId="27" fillId="11" borderId="0" xfId="21" applyNumberFormat="1" applyFont="1" applyFill="1" applyBorder="1" applyAlignment="1" applyProtection="1">
      <alignment horizontal="center" vertical="center"/>
      <protection/>
    </xf>
    <xf numFmtId="3" fontId="15" fillId="5" borderId="0" xfId="22" applyNumberFormat="1" applyFont="1" applyFill="1" applyAlignment="1">
      <alignment horizontal="center" vertical="center"/>
      <protection/>
    </xf>
    <xf numFmtId="3" fontId="28" fillId="3" borderId="0" xfId="21" applyNumberFormat="1" applyFont="1" applyBorder="1" applyAlignment="1" applyProtection="1">
      <alignment horizontal="center" vertical="center"/>
      <protection/>
    </xf>
    <xf numFmtId="3" fontId="27" fillId="9" borderId="0" xfId="21" applyNumberFormat="1" applyFont="1" applyFill="1" applyBorder="1" applyAlignment="1" applyProtection="1">
      <alignment horizontal="center" vertical="center"/>
      <protection/>
    </xf>
    <xf numFmtId="3" fontId="25" fillId="0" borderId="0" xfId="18" applyNumberFormat="1" applyFont="1" applyBorder="1" applyAlignment="1">
      <alignment horizontal="center"/>
    </xf>
    <xf numFmtId="3" fontId="8" fillId="14" borderId="0" xfId="21" applyNumberFormat="1" applyFont="1" applyFill="1" applyBorder="1" applyAlignment="1" applyProtection="1">
      <alignment horizontal="center" vertical="center"/>
      <protection/>
    </xf>
    <xf numFmtId="3" fontId="8" fillId="0" borderId="0" xfId="22" applyNumberFormat="1" applyFont="1" applyAlignment="1">
      <alignment horizontal="center" vertical="center"/>
      <protection/>
    </xf>
    <xf numFmtId="3" fontId="16" fillId="12" borderId="0" xfId="0" applyNumberFormat="1" applyFont="1" applyFill="1" applyAlignment="1">
      <alignment horizontal="center" vertical="center"/>
    </xf>
    <xf numFmtId="3" fontId="36" fillId="0" borderId="0" xfId="18" applyNumberFormat="1" applyFont="1" applyAlignment="1">
      <alignment horizontal="center"/>
    </xf>
    <xf numFmtId="166" fontId="36" fillId="0" borderId="0" xfId="18" applyNumberFormat="1" applyFont="1" applyBorder="1" applyAlignment="1">
      <alignment horizontal="center"/>
    </xf>
    <xf numFmtId="3" fontId="26" fillId="12" borderId="0" xfId="0" applyNumberFormat="1" applyFont="1" applyFill="1" applyAlignment="1">
      <alignment horizontal="center" vertical="center" wrapText="1"/>
    </xf>
    <xf numFmtId="3" fontId="26" fillId="10" borderId="0" xfId="0" applyNumberFormat="1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4" fillId="5" borderId="8" xfId="22" applyFont="1" applyFill="1" applyBorder="1" applyAlignment="1">
      <alignment horizontal="center" vertical="center"/>
      <protection/>
    </xf>
    <xf numFmtId="0" fontId="4" fillId="5" borderId="9" xfId="22" applyFont="1" applyFill="1" applyBorder="1" applyAlignment="1">
      <alignment horizontal="center" vertical="center"/>
      <protection/>
    </xf>
    <xf numFmtId="0" fontId="4" fillId="5" borderId="10" xfId="22" applyFont="1" applyFill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6" fillId="12" borderId="0" xfId="0" applyFont="1" applyFill="1" applyAlignment="1">
      <alignment vertical="center"/>
    </xf>
    <xf numFmtId="3" fontId="26" fillId="12" borderId="0" xfId="0" applyNumberFormat="1" applyFont="1" applyFill="1" applyAlignment="1">
      <alignment vertical="center"/>
    </xf>
    <xf numFmtId="3" fontId="9" fillId="12" borderId="0" xfId="0" applyNumberFormat="1" applyFont="1" applyFill="1" applyAlignment="1">
      <alignment horizontal="center" vertical="center"/>
    </xf>
    <xf numFmtId="0" fontId="9" fillId="12" borderId="0" xfId="0" applyFont="1" applyFill="1" applyAlignment="1" applyProtection="1">
      <alignment horizontal="right" vertical="center"/>
      <protection/>
    </xf>
    <xf numFmtId="0" fontId="51" fillId="12" borderId="0" xfId="0" applyFont="1" applyFill="1" applyAlignment="1" applyProtection="1">
      <alignment horizontal="right" vertical="center"/>
      <protection/>
    </xf>
    <xf numFmtId="3" fontId="50" fillId="12" borderId="0" xfId="0" applyNumberFormat="1" applyFont="1" applyFill="1" applyAlignment="1" applyProtection="1">
      <alignment horizontal="center" vertical="center"/>
      <protection/>
    </xf>
    <xf numFmtId="3" fontId="51" fillId="12" borderId="0" xfId="0" applyNumberFormat="1" applyFont="1" applyFill="1" applyAlignment="1" applyProtection="1">
      <alignment horizontal="center" vertical="center"/>
      <protection/>
    </xf>
    <xf numFmtId="3" fontId="51" fillId="12" borderId="0" xfId="0" applyNumberFormat="1" applyFont="1" applyFill="1" applyAlignment="1" applyProtection="1">
      <alignment horizontal="righ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Normal_Sheet1" xfId="22"/>
    <cellStyle name="Normal_Sheet3" xfId="23"/>
    <cellStyle name="Normal_Sheet4" xfId="24"/>
    <cellStyle name="Calculation" xfId="25"/>
    <cellStyle name="Normal_Shee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8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libri"/>
                <a:cs typeface="Calibri"/>
              </a:rPr>
              <a:t>Sales Forecast &amp; Break Even Assumptions</a:t>
            </a:r>
          </a:p>
        </c:rich>
      </c:tx>
      <c:layout/>
      <c:overlay val="0"/>
      <c:spPr>
        <a:noFill/>
        <a:ln>
          <a:noFill/>
        </a:ln>
      </c:spPr>
    </c:title>
    <c:view3D>
      <c:rotX val="10"/>
      <c:rotY val="0"/>
      <c:depthPercent val="100"/>
      <c:rAngAx val="0"/>
      <c:perspective val="30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pattFill prst="ltDnDiag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/>
              </a:solidFill>
            </a:ln>
            <a:sp3d>
              <a:contourClr>
                <a:schemeClr val="accent6"/>
              </a:contourClr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F0D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1"/>
              </a:solidFill>
              <a:ln>
                <a:solidFill>
                  <a:schemeClr val="accent6"/>
                </a:solidFill>
              </a:ln>
              <a:sp3d>
                <a:contourClr>
                  <a:schemeClr val="accent6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Charts!$A$1:$A$6</c:f>
              <c:strCache/>
            </c:strRef>
          </c:cat>
          <c:val>
            <c:numRef>
              <c:f>Charts!$B$1:$B$6</c:f>
              <c:numCache/>
            </c:numRef>
          </c:val>
          <c:shape val="box"/>
        </c:ser>
        <c:gapWidth val="160"/>
        <c:gapDepth val="0"/>
        <c:shape val="box"/>
        <c:axId val="11866885"/>
        <c:axId val="39693102"/>
      </c:bar3DChart>
      <c:catAx>
        <c:axId val="118668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693102"/>
        <c:crosses val="autoZero"/>
        <c:auto val="1"/>
        <c:lblOffset val="100"/>
        <c:noMultiLvlLbl val="0"/>
      </c:catAx>
      <c:valAx>
        <c:axId val="39693102"/>
        <c:scaling>
          <c:orientation val="minMax"/>
        </c:scaling>
        <c:axPos val="b"/>
        <c:delete val="0"/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866885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solidFill>
          <a:schemeClr val="bg1"/>
        </a:solidFill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800" b="1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Calibri"/>
                <a:cs typeface="Calibri"/>
              </a:rPr>
              <a:t>Customers Per Month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2F0D9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tx1"/>
              </a:solidFill>
              <a:ln>
                <a:noFill/>
              </a:ln>
              <a:effectLst>
                <a:innerShdw blurRad="114300">
                  <a:schemeClr val="accent6"/>
                </a:inn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Charts!$A$24:$A$29</c:f>
              <c:strCache/>
            </c:strRef>
          </c:cat>
          <c:val>
            <c:numRef>
              <c:f>Charts!$B$24:$B$29</c:f>
              <c:numCache/>
            </c:numRef>
          </c:val>
        </c:ser>
        <c:ser>
          <c:idx val="1"/>
          <c:order val="1"/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AE3F3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Charts!$A$24:$A$29</c:f>
              <c:strCache/>
            </c:strRef>
          </c:cat>
          <c:val>
            <c:numRef>
              <c:f>Charts!$C$24:$C$29</c:f>
              <c:numCache/>
            </c:numRef>
          </c:val>
        </c:ser>
        <c:overlap val="-48"/>
        <c:gapWidth val="227"/>
        <c:axId val="21693599"/>
        <c:axId val="61024664"/>
      </c:barChart>
      <c:catAx>
        <c:axId val="21693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024664"/>
        <c:crosses val="autoZero"/>
        <c:auto val="1"/>
        <c:lblOffset val="100"/>
        <c:noMultiLvlLbl val="0"/>
      </c:catAx>
      <c:valAx>
        <c:axId val="610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6935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</xdr:row>
      <xdr:rowOff>0</xdr:rowOff>
    </xdr:from>
    <xdr:to>
      <xdr:col>19</xdr:col>
      <xdr:colOff>600075</xdr:colOff>
      <xdr:row>26</xdr:row>
      <xdr:rowOff>9525</xdr:rowOff>
    </xdr:to>
    <xdr:graphicFrame macro="">
      <xdr:nvGraphicFramePr>
        <xdr:cNvPr id="7" name="Chart 6"/>
        <xdr:cNvGraphicFramePr/>
      </xdr:nvGraphicFramePr>
      <xdr:xfrm>
        <a:off x="4419600" y="190500"/>
        <a:ext cx="9267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27</xdr:row>
      <xdr:rowOff>38100</xdr:rowOff>
    </xdr:from>
    <xdr:to>
      <xdr:col>19</xdr:col>
      <xdr:colOff>600075</xdr:colOff>
      <xdr:row>50</xdr:row>
      <xdr:rowOff>57150</xdr:rowOff>
    </xdr:to>
    <xdr:graphicFrame macro="">
      <xdr:nvGraphicFramePr>
        <xdr:cNvPr id="8" name="Chart 7"/>
        <xdr:cNvGraphicFramePr/>
      </xdr:nvGraphicFramePr>
      <xdr:xfrm>
        <a:off x="4448175" y="5181600"/>
        <a:ext cx="92392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</xdr:row>
      <xdr:rowOff>133350</xdr:rowOff>
    </xdr:from>
    <xdr:to>
      <xdr:col>6</xdr:col>
      <xdr:colOff>190500</xdr:colOff>
      <xdr:row>18</xdr:row>
      <xdr:rowOff>9525</xdr:rowOff>
    </xdr:to>
    <xdr:sp macro="" textlink="">
      <xdr:nvSpPr>
        <xdr:cNvPr id="14" name="Title 1"/>
        <xdr:cNvSpPr>
          <a:spLocks noGrp="1"/>
        </xdr:cNvSpPr>
      </xdr:nvSpPr>
      <xdr:spPr>
        <a:xfrm>
          <a:off x="1562100" y="1457325"/>
          <a:ext cx="3857625" cy="2162175"/>
        </a:xfrm>
        <a:prstGeom prst="rect">
          <a:avLst/>
        </a:prstGeom>
        <a:ln>
          <a:noFill/>
        </a:ln>
      </xdr:spPr>
      <xdr:txBody>
        <a:bodyPr vert="horz" wrap="square" lIns="91440" tIns="45720" rIns="91440" bIns="45720" rtlCol="0" anchor="t">
          <a:noAutofit/>
        </a:bodyPr>
        <a:lstStyle>
          <a:lvl1pPr algn="l" defTabSz="914400" rtl="0" eaLnBrk="1" latinLnBrk="0" hangingPunct="1">
            <a:lnSpc>
              <a:spcPct val="84000"/>
            </a:lnSpc>
            <a:spcBef>
              <a:spcPct val="0"/>
            </a:spcBef>
            <a:buNone/>
            <a:defRPr sz="4800" kern="1200" baseline="0">
              <a:solidFill>
                <a:schemeClr val="bg1"/>
              </a:solidFill>
              <a:latin typeface="+mj-lt"/>
              <a:ea typeface="+mj-ea"/>
              <a:cs typeface="+mj-cs"/>
            </a:defRPr>
          </a:lvl1pPr>
        </a:lstStyle>
        <a:p>
          <a:pPr algn="ctr"/>
          <a:r>
            <a:rPr lang="en-US">
              <a:solidFill>
                <a:schemeClr val="tx1"/>
              </a:solidFill>
            </a:rPr>
            <a:t>Patient Numbers</a:t>
          </a:r>
        </a:p>
      </xdr:txBody>
    </xdr:sp>
    <xdr:clientData/>
  </xdr:twoCellAnchor>
  <xdr:twoCellAnchor editAs="oneCell">
    <xdr:from>
      <xdr:col>3</xdr:col>
      <xdr:colOff>276225</xdr:colOff>
      <xdr:row>19</xdr:row>
      <xdr:rowOff>28575</xdr:rowOff>
    </xdr:from>
    <xdr:to>
      <xdr:col>5</xdr:col>
      <xdr:colOff>200025</xdr:colOff>
      <xdr:row>28</xdr:row>
      <xdr:rowOff>57150</xdr:rowOff>
    </xdr:to>
    <xdr:pic>
      <xdr:nvPicPr>
        <xdr:cNvPr id="15" name="Content Placeholder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829050"/>
          <a:ext cx="1743075" cy="1743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190500</xdr:rowOff>
    </xdr:from>
    <xdr:to>
      <xdr:col>12</xdr:col>
      <xdr:colOff>1066800</xdr:colOff>
      <xdr:row>33</xdr:row>
      <xdr:rowOff>161925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133475"/>
          <a:ext cx="6515100" cy="5495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952d97a6fdb60e\%5eL%20RMMC%20Consulting\1.%20Clients\%5e1%20Proposals%20%5e1\2018%20Proposals\Alisa%20Lee\Project\RMMC%20Retail%20Pro%20Forma%20-%20Fort%20Independence%20Retail%20_S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s Available"/>
      <sheetName val="Cash Flow"/>
      <sheetName val="Monthly Bal Sht"/>
      <sheetName val="Balance Sheet"/>
      <sheetName val="Monthly Stmt of Ops"/>
      <sheetName val="Stmt of Ops"/>
      <sheetName val="Assumptions"/>
      <sheetName val="First Year Stmt of Ops"/>
      <sheetName val="Staff"/>
      <sheetName val="5 Year Plan Graph"/>
    </sheetNames>
    <sheetDataSet>
      <sheetData sheetId="0"/>
      <sheetData sheetId="1"/>
      <sheetData sheetId="2"/>
      <sheetData sheetId="3"/>
      <sheetData sheetId="4">
        <row r="67">
          <cell r="U67">
            <v>106333.5396114352</v>
          </cell>
          <cell r="V67">
            <v>105746.76761617456</v>
          </cell>
          <cell r="W67">
            <v>113544.0771920442</v>
          </cell>
          <cell r="X67">
            <v>121356.81679646464</v>
          </cell>
          <cell r="Y67">
            <v>129185.00949218331</v>
          </cell>
          <cell r="Z67">
            <v>137028.67837264336</v>
          </cell>
          <cell r="AA67">
            <v>144887.8465620215</v>
          </cell>
          <cell r="AB67">
            <v>152762.5372152667</v>
          </cell>
          <cell r="AC67">
            <v>160652.7735181385</v>
          </cell>
          <cell r="AD67">
            <v>168558.57868724546</v>
          </cell>
          <cell r="AE67">
            <v>176479.97597008388</v>
          </cell>
          <cell r="AF67">
            <v>184416.98864507585</v>
          </cell>
          <cell r="AH67">
            <v>167775.70871750842</v>
          </cell>
          <cell r="AI67">
            <v>130605.1154753106</v>
          </cell>
          <cell r="AJ67">
            <v>133829.1988134678</v>
          </cell>
          <cell r="AK67">
            <v>137059.5318011063</v>
          </cell>
          <cell r="AL67">
            <v>140296.12371344172</v>
          </cell>
          <cell r="AM67">
            <v>143538.98383799032</v>
          </cell>
          <cell r="AN67">
            <v>146788.12147458474</v>
          </cell>
          <cell r="AO67">
            <v>150043.545935389</v>
          </cell>
          <cell r="AP67">
            <v>153305.26654491376</v>
          </cell>
          <cell r="AQ67">
            <v>156573.29264003196</v>
          </cell>
          <cell r="AR67">
            <v>159847.63356999436</v>
          </cell>
          <cell r="AS67">
            <v>163128.29869644454</v>
          </cell>
          <cell r="AU67">
            <v>83818.79012482823</v>
          </cell>
          <cell r="AV67">
            <v>81436.09753576713</v>
          </cell>
          <cell r="AW67">
            <v>84552.28331447966</v>
          </cell>
          <cell r="AX67">
            <v>87674.54148477426</v>
          </cell>
          <cell r="AY67">
            <v>90802.88107524824</v>
          </cell>
          <cell r="AZ67">
            <v>93937.31112648372</v>
          </cell>
          <cell r="BA67">
            <v>97077.84069106274</v>
          </cell>
          <cell r="BB67">
            <v>100224.47883358196</v>
          </cell>
          <cell r="BC67">
            <v>103377.23463066766</v>
          </cell>
          <cell r="BD67">
            <v>106536.11717099074</v>
          </cell>
          <cell r="BE67">
            <v>109701.13555528203</v>
          </cell>
          <cell r="BF67">
            <v>112872.29889634682</v>
          </cell>
          <cell r="BH67">
            <v>105713.62173258033</v>
          </cell>
          <cell r="BI67">
            <v>109022.10237398243</v>
          </cell>
          <cell r="BJ67">
            <v>112211.75538317321</v>
          </cell>
          <cell r="BK67">
            <v>115407.58992140749</v>
          </cell>
          <cell r="BL67">
            <v>118609.61516209037</v>
          </cell>
          <cell r="BM67">
            <v>121817.84029079234</v>
          </cell>
          <cell r="BN67">
            <v>125032.27450526392</v>
          </cell>
          <cell r="BO67">
            <v>128252.9270154518</v>
          </cell>
          <cell r="BP67">
            <v>131479.80704351296</v>
          </cell>
          <cell r="BQ67">
            <v>134712.9238238309</v>
          </cell>
          <cell r="BR67">
            <v>137952.2866030299</v>
          </cell>
          <cell r="BS67">
            <v>141197.90463999097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workbookViewId="0" topLeftCell="A1">
      <selection activeCell="L18" sqref="L18"/>
    </sheetView>
  </sheetViews>
  <sheetFormatPr defaultColWidth="13.140625" defaultRowHeight="15"/>
  <cols>
    <col min="1" max="1" width="32.421875" style="178" customWidth="1"/>
    <col min="2" max="2" width="14.8515625" style="178" customWidth="1"/>
    <col min="3" max="3" width="0.5625" style="178" customWidth="1"/>
    <col min="4" max="4" width="25.28125" style="178" bestFit="1" customWidth="1"/>
    <col min="5" max="5" width="23.421875" style="206" bestFit="1" customWidth="1"/>
    <col min="6" max="6" width="18.28125" style="178" bestFit="1" customWidth="1"/>
    <col min="7" max="7" width="0.5625" style="178" customWidth="1"/>
    <col min="8" max="8" width="23.28125" style="178" bestFit="1" customWidth="1"/>
    <col min="9" max="9" width="20.421875" style="178" bestFit="1" customWidth="1"/>
    <col min="10" max="10" width="24.8515625" style="178" bestFit="1" customWidth="1"/>
    <col min="11" max="16384" width="13.140625" style="178" customWidth="1"/>
  </cols>
  <sheetData>
    <row r="1" spans="1:10" ht="19.5" customHeight="1">
      <c r="A1" s="342" t="s">
        <v>40</v>
      </c>
      <c r="B1" s="342"/>
      <c r="C1" s="177"/>
      <c r="D1" s="340"/>
      <c r="E1" s="340"/>
      <c r="F1" s="340"/>
      <c r="G1" s="369"/>
      <c r="H1" s="372" t="s">
        <v>244</v>
      </c>
      <c r="I1" s="372"/>
      <c r="J1" s="372"/>
    </row>
    <row r="2" spans="1:10" ht="15" customHeight="1">
      <c r="A2" s="343" t="s">
        <v>202</v>
      </c>
      <c r="B2" s="343"/>
      <c r="C2" s="177"/>
      <c r="D2" s="340"/>
      <c r="E2" s="340"/>
      <c r="F2" s="340"/>
      <c r="G2" s="369"/>
      <c r="H2" s="372"/>
      <c r="I2" s="372"/>
      <c r="J2" s="372"/>
    </row>
    <row r="3" spans="1:10" ht="15" customHeight="1">
      <c r="A3" s="324"/>
      <c r="B3" s="324"/>
      <c r="C3" s="177"/>
      <c r="D3" s="373" t="s">
        <v>245</v>
      </c>
      <c r="E3" s="373"/>
      <c r="F3" s="373"/>
      <c r="G3" s="373"/>
      <c r="H3" s="373"/>
      <c r="I3" s="373"/>
      <c r="J3" s="373"/>
    </row>
    <row r="4" spans="1:10" ht="15">
      <c r="A4" s="179"/>
      <c r="B4" s="179"/>
      <c r="C4" s="180"/>
      <c r="D4" s="179"/>
      <c r="E4" s="181"/>
      <c r="F4" s="179"/>
      <c r="G4" s="180"/>
      <c r="H4" s="179"/>
      <c r="I4" s="179"/>
      <c r="J4" s="179"/>
    </row>
    <row r="5" spans="1:10" ht="15">
      <c r="A5" s="182" t="s">
        <v>17</v>
      </c>
      <c r="B5" s="182"/>
      <c r="C5" s="183"/>
      <c r="D5" s="341" t="s">
        <v>18</v>
      </c>
      <c r="E5" s="341"/>
      <c r="F5" s="341"/>
      <c r="G5" s="184"/>
      <c r="H5" s="341" t="s">
        <v>19</v>
      </c>
      <c r="I5" s="341"/>
      <c r="J5" s="341"/>
    </row>
    <row r="6" spans="1:10" ht="15">
      <c r="A6" s="42" t="s">
        <v>20</v>
      </c>
      <c r="B6" s="185">
        <f>F21</f>
        <v>290500</v>
      </c>
      <c r="C6" s="186"/>
      <c r="D6" s="46" t="s">
        <v>148</v>
      </c>
      <c r="E6" s="46" t="s">
        <v>143</v>
      </c>
      <c r="F6" s="187">
        <v>1000</v>
      </c>
      <c r="G6" s="188"/>
      <c r="H6" s="46" t="s">
        <v>43</v>
      </c>
      <c r="I6" s="46" t="s">
        <v>145</v>
      </c>
      <c r="J6" s="189">
        <v>1000</v>
      </c>
    </row>
    <row r="7" spans="1:10" ht="15">
      <c r="A7" s="42" t="s">
        <v>21</v>
      </c>
      <c r="B7" s="185">
        <f>J21</f>
        <v>353000</v>
      </c>
      <c r="C7" s="186"/>
      <c r="D7" s="46" t="s">
        <v>57</v>
      </c>
      <c r="E7" s="46" t="s">
        <v>143</v>
      </c>
      <c r="F7" s="189">
        <v>1500</v>
      </c>
      <c r="G7" s="190"/>
      <c r="H7" s="46" t="s">
        <v>41</v>
      </c>
      <c r="I7" s="46" t="s">
        <v>149</v>
      </c>
      <c r="J7" s="189">
        <v>45000</v>
      </c>
    </row>
    <row r="8" spans="1:10" ht="15">
      <c r="A8" s="42" t="s">
        <v>203</v>
      </c>
      <c r="B8" s="185">
        <v>36500</v>
      </c>
      <c r="C8" s="191"/>
      <c r="D8" s="46" t="s">
        <v>234</v>
      </c>
      <c r="E8" s="46" t="s">
        <v>164</v>
      </c>
      <c r="F8" s="189">
        <v>5000</v>
      </c>
      <c r="G8" s="190"/>
      <c r="H8" s="46" t="s">
        <v>146</v>
      </c>
      <c r="I8" s="46" t="s">
        <v>149</v>
      </c>
      <c r="J8" s="189">
        <v>10000</v>
      </c>
    </row>
    <row r="9" spans="1:10" ht="15">
      <c r="A9" s="45"/>
      <c r="B9" s="40"/>
      <c r="C9" s="41"/>
      <c r="D9" s="46" t="s">
        <v>165</v>
      </c>
      <c r="E9" s="46" t="s">
        <v>164</v>
      </c>
      <c r="F9" s="189">
        <v>15000</v>
      </c>
      <c r="G9" s="190"/>
      <c r="H9" s="46" t="s">
        <v>74</v>
      </c>
      <c r="I9" s="46" t="s">
        <v>149</v>
      </c>
      <c r="J9" s="189">
        <v>7000</v>
      </c>
    </row>
    <row r="10" spans="1:15" ht="15">
      <c r="A10" s="207" t="s">
        <v>22</v>
      </c>
      <c r="B10" s="208">
        <f>SUM(B6:B9)</f>
        <v>680000</v>
      </c>
      <c r="C10" s="192"/>
      <c r="D10" s="47" t="s">
        <v>153</v>
      </c>
      <c r="E10" s="47" t="s">
        <v>159</v>
      </c>
      <c r="F10" s="189">
        <v>500</v>
      </c>
      <c r="G10" s="190"/>
      <c r="H10" s="46" t="s">
        <v>150</v>
      </c>
      <c r="I10" s="46" t="s">
        <v>149</v>
      </c>
      <c r="J10" s="189">
        <v>15000</v>
      </c>
      <c r="M10" s="46"/>
      <c r="N10" s="46"/>
      <c r="O10" s="189"/>
    </row>
    <row r="11" spans="1:10" ht="15">
      <c r="A11" s="45"/>
      <c r="B11" s="40"/>
      <c r="C11" s="43"/>
      <c r="D11" s="46" t="s">
        <v>144</v>
      </c>
      <c r="E11" s="46" t="s">
        <v>149</v>
      </c>
      <c r="F11" s="189">
        <v>7500</v>
      </c>
      <c r="G11" s="190"/>
      <c r="H11" s="47" t="s">
        <v>73</v>
      </c>
      <c r="I11" s="47" t="s">
        <v>154</v>
      </c>
      <c r="J11" s="189">
        <v>30000</v>
      </c>
    </row>
    <row r="12" spans="1:13" ht="15">
      <c r="A12" s="193" t="s">
        <v>61</v>
      </c>
      <c r="B12" s="193"/>
      <c r="C12" s="43"/>
      <c r="D12" s="47" t="s">
        <v>42</v>
      </c>
      <c r="E12" s="46" t="s">
        <v>149</v>
      </c>
      <c r="F12" s="189">
        <v>5000</v>
      </c>
      <c r="G12" s="190"/>
      <c r="H12" s="46" t="s">
        <v>151</v>
      </c>
      <c r="I12" s="46" t="s">
        <v>149</v>
      </c>
      <c r="J12" s="189">
        <v>35000</v>
      </c>
      <c r="M12" s="274"/>
    </row>
    <row r="13" spans="1:11" ht="15">
      <c r="A13" s="42"/>
      <c r="B13" s="1"/>
      <c r="C13" s="43"/>
      <c r="D13" s="47"/>
      <c r="E13" s="47"/>
      <c r="F13" s="189"/>
      <c r="G13" s="190"/>
      <c r="H13" s="47" t="s">
        <v>147</v>
      </c>
      <c r="I13" s="47"/>
      <c r="J13" s="189">
        <v>10000</v>
      </c>
      <c r="K13" s="273"/>
    </row>
    <row r="14" spans="1:10" ht="15">
      <c r="A14" s="42"/>
      <c r="B14" s="1"/>
      <c r="C14" s="43"/>
      <c r="D14" s="47"/>
      <c r="E14" s="47"/>
      <c r="F14" s="189"/>
      <c r="G14" s="190"/>
      <c r="H14" s="47" t="s">
        <v>44</v>
      </c>
      <c r="I14" s="47" t="s">
        <v>152</v>
      </c>
      <c r="J14" s="189">
        <v>200000</v>
      </c>
    </row>
    <row r="15" spans="1:10" ht="15">
      <c r="A15" s="194"/>
      <c r="B15" s="195"/>
      <c r="C15" s="196"/>
      <c r="D15" s="47"/>
      <c r="E15" s="47"/>
      <c r="F15" s="189"/>
      <c r="G15" s="190"/>
      <c r="H15" s="46"/>
      <c r="I15" s="46"/>
      <c r="J15" s="197"/>
    </row>
    <row r="16" spans="1:10" ht="15">
      <c r="A16" s="209" t="s">
        <v>62</v>
      </c>
      <c r="B16" s="210">
        <f>SUM(B11:B14)</f>
        <v>0</v>
      </c>
      <c r="C16" s="192"/>
      <c r="D16" s="47" t="s">
        <v>155</v>
      </c>
      <c r="E16" s="46" t="s">
        <v>156</v>
      </c>
      <c r="F16" s="189">
        <v>170000</v>
      </c>
      <c r="G16" s="190"/>
      <c r="H16" s="47"/>
      <c r="I16" s="46"/>
      <c r="J16" s="197"/>
    </row>
    <row r="17" spans="1:10" ht="15">
      <c r="A17" s="42"/>
      <c r="B17" s="42"/>
      <c r="C17" s="44"/>
      <c r="D17" s="47" t="s">
        <v>157</v>
      </c>
      <c r="E17" s="47" t="s">
        <v>149</v>
      </c>
      <c r="F17" s="189">
        <v>25000</v>
      </c>
      <c r="G17" s="190"/>
      <c r="H17" s="47"/>
      <c r="I17" s="47"/>
      <c r="J17" s="197"/>
    </row>
    <row r="18" spans="1:10" ht="15">
      <c r="A18" s="42"/>
      <c r="B18" s="42"/>
      <c r="C18" s="44"/>
      <c r="D18" s="47" t="s">
        <v>158</v>
      </c>
      <c r="E18" s="47" t="s">
        <v>149</v>
      </c>
      <c r="F18" s="189">
        <v>60000</v>
      </c>
      <c r="G18" s="198"/>
      <c r="H18" s="47"/>
      <c r="I18" s="47"/>
      <c r="J18" s="199"/>
    </row>
    <row r="19" spans="1:10" ht="15">
      <c r="A19" s="42"/>
      <c r="B19" s="42"/>
      <c r="C19" s="44"/>
      <c r="D19" s="47"/>
      <c r="E19" s="47"/>
      <c r="F19" s="199"/>
      <c r="G19" s="198"/>
      <c r="H19" s="47"/>
      <c r="I19" s="47"/>
      <c r="J19" s="199"/>
    </row>
    <row r="20" spans="1:10" ht="15">
      <c r="A20" s="42"/>
      <c r="B20" s="42"/>
      <c r="C20" s="44"/>
      <c r="D20" s="47"/>
      <c r="E20" s="47"/>
      <c r="F20" s="199"/>
      <c r="G20" s="198"/>
      <c r="H20" s="47"/>
      <c r="I20" s="47"/>
      <c r="J20" s="199"/>
    </row>
    <row r="21" spans="1:10" ht="15">
      <c r="A21" s="194"/>
      <c r="B21" s="194"/>
      <c r="C21" s="200"/>
      <c r="D21" s="201" t="s">
        <v>23</v>
      </c>
      <c r="E21" s="201"/>
      <c r="F21" s="195">
        <f>SUM(F6:F20)</f>
        <v>290500</v>
      </c>
      <c r="G21" s="202"/>
      <c r="H21" s="201" t="s">
        <v>24</v>
      </c>
      <c r="I21" s="201"/>
      <c r="J21" s="203">
        <f>SUM(J6:J20)</f>
        <v>353000</v>
      </c>
    </row>
    <row r="22" spans="1:10" ht="15">
      <c r="A22" s="204"/>
      <c r="B22" s="204"/>
      <c r="C22" s="204"/>
      <c r="D22" s="204"/>
      <c r="E22" s="205"/>
      <c r="F22" s="204"/>
      <c r="G22" s="204"/>
      <c r="H22" s="204"/>
      <c r="I22" s="204"/>
      <c r="J22" s="204"/>
    </row>
    <row r="23" spans="1:10" ht="12.75" customHeight="1">
      <c r="A23" s="337" t="s">
        <v>228</v>
      </c>
      <c r="B23" s="337"/>
      <c r="C23" s="337"/>
      <c r="D23" s="337"/>
      <c r="E23" s="331"/>
      <c r="F23" s="330"/>
      <c r="G23" s="330"/>
      <c r="H23" s="330"/>
      <c r="I23" s="330"/>
      <c r="J23" s="330"/>
    </row>
    <row r="24" spans="1:10" ht="15">
      <c r="A24" s="338" t="s">
        <v>229</v>
      </c>
      <c r="B24" s="338"/>
      <c r="C24" s="330"/>
      <c r="D24" s="152">
        <f>'Capital Flow'!$D$59</f>
        <v>680000</v>
      </c>
      <c r="E24" s="331"/>
      <c r="F24" s="330"/>
      <c r="G24" s="330"/>
      <c r="H24" s="330"/>
      <c r="I24" s="330"/>
      <c r="J24" s="330"/>
    </row>
    <row r="25" spans="1:10" ht="15">
      <c r="A25" s="338" t="s">
        <v>230</v>
      </c>
      <c r="B25" s="338"/>
      <c r="C25" s="330"/>
      <c r="D25" s="330"/>
      <c r="E25" s="331"/>
      <c r="F25" s="330"/>
      <c r="G25" s="330"/>
      <c r="H25" s="330"/>
      <c r="I25" s="330"/>
      <c r="J25" s="330"/>
    </row>
    <row r="26" spans="1:10" ht="15">
      <c r="A26" s="338" t="s">
        <v>231</v>
      </c>
      <c r="B26" s="338"/>
      <c r="C26" s="330"/>
      <c r="D26" s="330"/>
      <c r="E26" s="331"/>
      <c r="F26" s="330"/>
      <c r="G26" s="330"/>
      <c r="H26" s="330"/>
      <c r="I26" s="330"/>
      <c r="J26" s="330"/>
    </row>
    <row r="27" spans="1:10" ht="15">
      <c r="A27" s="339" t="s">
        <v>232</v>
      </c>
      <c r="B27" s="339"/>
      <c r="C27" s="288"/>
      <c r="D27" s="333">
        <f>SUM(D24:D26)</f>
        <v>680000</v>
      </c>
      <c r="E27" s="331"/>
      <c r="F27" s="330"/>
      <c r="G27" s="330"/>
      <c r="H27" s="330"/>
      <c r="I27" s="330"/>
      <c r="J27" s="330"/>
    </row>
    <row r="28" spans="1:10" ht="15">
      <c r="A28" s="281"/>
      <c r="B28" s="281"/>
      <c r="C28" s="288"/>
      <c r="D28" s="334"/>
      <c r="E28" s="331"/>
      <c r="F28" s="330"/>
      <c r="G28" s="330"/>
      <c r="H28" s="330"/>
      <c r="I28" s="330"/>
      <c r="J28" s="330"/>
    </row>
    <row r="29" spans="1:10" ht="15">
      <c r="A29" s="337" t="s">
        <v>227</v>
      </c>
      <c r="B29" s="337"/>
      <c r="C29" s="337"/>
      <c r="D29" s="337"/>
      <c r="E29" s="331"/>
      <c r="F29" s="330"/>
      <c r="G29" s="330"/>
      <c r="H29" s="330"/>
      <c r="I29" s="330"/>
      <c r="J29" s="330"/>
    </row>
    <row r="30" spans="1:10" ht="15">
      <c r="A30" s="332"/>
      <c r="B30" s="332"/>
      <c r="C30" s="332"/>
      <c r="D30" s="332"/>
      <c r="E30" s="331"/>
      <c r="F30" s="330"/>
      <c r="G30" s="330"/>
      <c r="H30" s="330"/>
      <c r="I30" s="330"/>
      <c r="J30" s="330"/>
    </row>
    <row r="31" spans="1:10" ht="15">
      <c r="A31" s="339" t="s">
        <v>233</v>
      </c>
      <c r="B31" s="339"/>
      <c r="C31" s="288"/>
      <c r="D31" s="334">
        <f>'Capital Flow'!$Q$24</f>
        <v>526512.4999999999</v>
      </c>
      <c r="E31" s="331"/>
      <c r="F31" s="330"/>
      <c r="G31" s="330"/>
      <c r="H31" s="330"/>
      <c r="I31" s="330"/>
      <c r="J31" s="330"/>
    </row>
    <row r="32" spans="1:10" ht="15">
      <c r="A32" s="330"/>
      <c r="B32" s="330"/>
      <c r="C32" s="330"/>
      <c r="D32" s="330"/>
      <c r="E32" s="331"/>
      <c r="F32" s="330"/>
      <c r="G32" s="330"/>
      <c r="H32" s="330"/>
      <c r="I32" s="330"/>
      <c r="J32" s="330"/>
    </row>
    <row r="33" spans="1:10" ht="15">
      <c r="A33" s="330"/>
      <c r="B33" s="330"/>
      <c r="C33" s="330"/>
      <c r="D33" s="330"/>
      <c r="E33" s="331"/>
      <c r="F33" s="330"/>
      <c r="G33" s="330"/>
      <c r="H33" s="330"/>
      <c r="I33" s="330"/>
      <c r="J33" s="330"/>
    </row>
    <row r="34" spans="1:10" ht="15">
      <c r="A34" s="330"/>
      <c r="B34" s="330"/>
      <c r="C34" s="330"/>
      <c r="D34" s="330"/>
      <c r="E34" s="331"/>
      <c r="F34" s="330"/>
      <c r="G34" s="330"/>
      <c r="H34" s="330"/>
      <c r="I34" s="330"/>
      <c r="J34" s="330"/>
    </row>
    <row r="35" spans="1:10" ht="15">
      <c r="A35" s="330"/>
      <c r="B35" s="330"/>
      <c r="C35" s="330"/>
      <c r="D35" s="330"/>
      <c r="E35" s="331"/>
      <c r="F35" s="330"/>
      <c r="G35" s="330"/>
      <c r="H35" s="330"/>
      <c r="I35" s="330"/>
      <c r="J35" s="330"/>
    </row>
    <row r="36" spans="1:10" ht="15">
      <c r="A36" s="330"/>
      <c r="B36" s="330"/>
      <c r="C36" s="330"/>
      <c r="D36" s="330"/>
      <c r="E36" s="331"/>
      <c r="F36" s="330"/>
      <c r="G36" s="330"/>
      <c r="H36" s="330"/>
      <c r="I36" s="330"/>
      <c r="J36" s="330"/>
    </row>
    <row r="37" spans="1:10" ht="15">
      <c r="A37" s="336"/>
      <c r="B37" s="336"/>
      <c r="C37" s="336"/>
      <c r="D37" s="336"/>
      <c r="E37" s="336"/>
      <c r="F37" s="336"/>
      <c r="G37" s="336"/>
      <c r="H37" s="336"/>
      <c r="I37" s="336"/>
      <c r="J37" s="336"/>
    </row>
  </sheetData>
  <mergeCells count="15">
    <mergeCell ref="H5:J5"/>
    <mergeCell ref="D5:F5"/>
    <mergeCell ref="A1:B1"/>
    <mergeCell ref="A2:B2"/>
    <mergeCell ref="D3:J3"/>
    <mergeCell ref="H1:J2"/>
    <mergeCell ref="D1:F2"/>
    <mergeCell ref="A37:J37"/>
    <mergeCell ref="A23:D23"/>
    <mergeCell ref="A24:B24"/>
    <mergeCell ref="A25:B25"/>
    <mergeCell ref="A26:B26"/>
    <mergeCell ref="A27:B27"/>
    <mergeCell ref="A31:B31"/>
    <mergeCell ref="A29:D29"/>
  </mergeCells>
  <printOptions/>
  <pageMargins left="0.7" right="0.7" top="0.75" bottom="0.75" header="0.3" footer="0.3"/>
  <pageSetup horizontalDpi="600" verticalDpi="600" orientation="landscape" scale="66" r:id="rId1"/>
  <headerFooter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7"/>
  <sheetViews>
    <sheetView zoomScale="85" zoomScaleNormal="85" zoomScalePageLayoutView="70" workbookViewId="0" topLeftCell="A3">
      <selection activeCell="N1" sqref="N1:R3"/>
    </sheetView>
  </sheetViews>
  <sheetFormatPr defaultColWidth="9.140625" defaultRowHeight="15"/>
  <cols>
    <col min="1" max="1" width="48.00390625" style="242" customWidth="1"/>
    <col min="2" max="2" width="14.7109375" style="154" customWidth="1"/>
    <col min="3" max="3" width="9.421875" style="154" bestFit="1" customWidth="1"/>
    <col min="4" max="4" width="0.42578125" style="154" customWidth="1"/>
    <col min="5" max="14" width="15.00390625" style="154" bestFit="1" customWidth="1"/>
    <col min="15" max="16" width="15.140625" style="154" bestFit="1" customWidth="1"/>
    <col min="17" max="17" width="0.42578125" style="154" customWidth="1"/>
    <col min="18" max="18" width="16.7109375" style="154" bestFit="1" customWidth="1"/>
    <col min="19" max="16384" width="9.140625" style="154" customWidth="1"/>
  </cols>
  <sheetData>
    <row r="1" spans="1:18" ht="15" customHeight="1">
      <c r="A1" s="352" t="s">
        <v>142</v>
      </c>
      <c r="B1" s="352"/>
      <c r="C1" s="352"/>
      <c r="D1" s="165"/>
      <c r="E1" s="370"/>
      <c r="F1" s="370"/>
      <c r="G1" s="370"/>
      <c r="H1" s="370"/>
      <c r="I1" s="370"/>
      <c r="J1" s="370"/>
      <c r="K1" s="370"/>
      <c r="L1" s="370"/>
      <c r="M1" s="370"/>
      <c r="N1" s="374" t="str">
        <f>'Request Overview'!$H$1</f>
        <v>Marijuana Retail Proforma</v>
      </c>
      <c r="O1" s="374"/>
      <c r="P1" s="374"/>
      <c r="Q1" s="374"/>
      <c r="R1" s="374"/>
    </row>
    <row r="2" spans="1:18" ht="12.75" customHeight="1">
      <c r="A2" s="353" t="s">
        <v>202</v>
      </c>
      <c r="B2" s="353"/>
      <c r="C2" s="353"/>
      <c r="D2" s="171"/>
      <c r="E2" s="370"/>
      <c r="F2" s="370"/>
      <c r="G2" s="370"/>
      <c r="H2" s="370"/>
      <c r="I2" s="370"/>
      <c r="J2" s="370"/>
      <c r="K2" s="370"/>
      <c r="L2" s="370"/>
      <c r="M2" s="370"/>
      <c r="N2" s="374"/>
      <c r="O2" s="374"/>
      <c r="P2" s="374"/>
      <c r="Q2" s="374"/>
      <c r="R2" s="374"/>
    </row>
    <row r="3" spans="1:18" ht="18">
      <c r="A3" s="325"/>
      <c r="B3" s="325"/>
      <c r="C3" s="325"/>
      <c r="D3" s="171"/>
      <c r="E3" s="326"/>
      <c r="F3" s="326"/>
      <c r="G3" s="326"/>
      <c r="H3" s="326"/>
      <c r="I3" s="326"/>
      <c r="J3" s="326"/>
      <c r="K3" s="326"/>
      <c r="L3" s="326"/>
      <c r="M3" s="326"/>
      <c r="N3" s="375" t="str">
        <f>'Request Overview'!$D$3</f>
        <v>© RMMC Consulting</v>
      </c>
      <c r="O3" s="375"/>
      <c r="P3" s="375"/>
      <c r="Q3" s="375"/>
      <c r="R3" s="375"/>
    </row>
    <row r="4" spans="1:18" ht="14.25">
      <c r="A4" s="344" t="s">
        <v>139</v>
      </c>
      <c r="B4" s="344"/>
      <c r="C4" s="344"/>
      <c r="D4" s="214"/>
      <c r="E4" s="215" t="s">
        <v>0</v>
      </c>
      <c r="F4" s="215" t="s">
        <v>1</v>
      </c>
      <c r="G4" s="215" t="s">
        <v>2</v>
      </c>
      <c r="H4" s="215" t="s">
        <v>3</v>
      </c>
      <c r="I4" s="215" t="s">
        <v>4</v>
      </c>
      <c r="J4" s="215" t="s">
        <v>5</v>
      </c>
      <c r="K4" s="215" t="s">
        <v>6</v>
      </c>
      <c r="L4" s="215" t="s">
        <v>7</v>
      </c>
      <c r="M4" s="215" t="s">
        <v>8</v>
      </c>
      <c r="N4" s="215" t="s">
        <v>9</v>
      </c>
      <c r="O4" s="215" t="s">
        <v>10</v>
      </c>
      <c r="P4" s="215" t="s">
        <v>11</v>
      </c>
      <c r="Q4" s="215"/>
      <c r="R4" s="215" t="s">
        <v>12</v>
      </c>
    </row>
    <row r="5" spans="1:18" ht="15">
      <c r="A5" s="349" t="s">
        <v>246</v>
      </c>
      <c r="B5" s="349"/>
      <c r="C5" s="349"/>
      <c r="D5" s="216"/>
      <c r="E5" s="217">
        <f>18546+14168</f>
        <v>32714</v>
      </c>
      <c r="F5" s="217">
        <f>+E5*0.012/12+E5</f>
        <v>32746.714</v>
      </c>
      <c r="G5" s="217">
        <f aca="true" t="shared" si="0" ref="G5:P5">+F5*0.012/12+F5</f>
        <v>32779.460714</v>
      </c>
      <c r="H5" s="217">
        <f t="shared" si="0"/>
        <v>32812.240174714</v>
      </c>
      <c r="I5" s="217">
        <f t="shared" si="0"/>
        <v>32845.05241488872</v>
      </c>
      <c r="J5" s="217">
        <f t="shared" si="0"/>
        <v>32877.89746730361</v>
      </c>
      <c r="K5" s="217">
        <f t="shared" si="0"/>
        <v>32910.77536477091</v>
      </c>
      <c r="L5" s="217">
        <f t="shared" si="0"/>
        <v>32943.68614013568</v>
      </c>
      <c r="M5" s="217">
        <f t="shared" si="0"/>
        <v>32976.629826275814</v>
      </c>
      <c r="N5" s="217">
        <f t="shared" si="0"/>
        <v>33009.60645610209</v>
      </c>
      <c r="O5" s="217">
        <f t="shared" si="0"/>
        <v>33042.61606255819</v>
      </c>
      <c r="P5" s="217">
        <f t="shared" si="0"/>
        <v>33075.65867862075</v>
      </c>
      <c r="Q5" s="215"/>
      <c r="R5" s="218"/>
    </row>
    <row r="6" spans="1:18" ht="15">
      <c r="A6" s="349" t="s">
        <v>95</v>
      </c>
      <c r="B6" s="349"/>
      <c r="C6" s="349"/>
      <c r="D6" s="216"/>
      <c r="E6" s="217">
        <v>3</v>
      </c>
      <c r="F6" s="217">
        <v>4</v>
      </c>
      <c r="G6" s="217">
        <v>5</v>
      </c>
      <c r="H6" s="217">
        <v>6</v>
      </c>
      <c r="I6" s="217">
        <v>7</v>
      </c>
      <c r="J6" s="217">
        <v>8</v>
      </c>
      <c r="K6" s="217">
        <v>9</v>
      </c>
      <c r="L6" s="217">
        <v>10</v>
      </c>
      <c r="M6" s="217">
        <v>11</v>
      </c>
      <c r="N6" s="217">
        <v>12</v>
      </c>
      <c r="O6" s="217">
        <v>13</v>
      </c>
      <c r="P6" s="217">
        <v>14</v>
      </c>
      <c r="Q6" s="215"/>
      <c r="R6" s="218"/>
    </row>
    <row r="7" spans="1:18" ht="15">
      <c r="A7" s="349" t="s">
        <v>94</v>
      </c>
      <c r="B7" s="349"/>
      <c r="C7" s="349"/>
      <c r="D7" s="216"/>
      <c r="E7" s="217">
        <f>+E5*E6/1000</f>
        <v>98.142</v>
      </c>
      <c r="F7" s="217">
        <f aca="true" t="shared" si="1" ref="F7:P7">+F5*F6/1000</f>
        <v>130.986856</v>
      </c>
      <c r="G7" s="217">
        <f t="shared" si="1"/>
        <v>163.89730357</v>
      </c>
      <c r="H7" s="217">
        <f t="shared" si="1"/>
        <v>196.873441048284</v>
      </c>
      <c r="I7" s="217">
        <f t="shared" si="1"/>
        <v>229.91536690422103</v>
      </c>
      <c r="J7" s="217">
        <f t="shared" si="1"/>
        <v>263.02317973842884</v>
      </c>
      <c r="K7" s="217">
        <f t="shared" si="1"/>
        <v>296.1969782829382</v>
      </c>
      <c r="L7" s="217">
        <f t="shared" si="1"/>
        <v>329.4368614013568</v>
      </c>
      <c r="M7" s="217">
        <f t="shared" si="1"/>
        <v>362.7429280890339</v>
      </c>
      <c r="N7" s="217">
        <f t="shared" si="1"/>
        <v>396.1152774732251</v>
      </c>
      <c r="O7" s="217">
        <f t="shared" si="1"/>
        <v>429.5540088132565</v>
      </c>
      <c r="P7" s="217">
        <f t="shared" si="1"/>
        <v>463.05922150069046</v>
      </c>
      <c r="Q7" s="215"/>
      <c r="R7" s="218"/>
    </row>
    <row r="8" spans="1:18" ht="15">
      <c r="A8" s="349" t="s">
        <v>247</v>
      </c>
      <c r="B8" s="349"/>
      <c r="C8" s="349"/>
      <c r="D8" s="216"/>
      <c r="E8" s="217">
        <v>250000</v>
      </c>
      <c r="F8" s="217">
        <f>+E8*0.012/12+E8</f>
        <v>250250</v>
      </c>
      <c r="G8" s="217">
        <f aca="true" t="shared" si="2" ref="G8">+F8*0.012/12+F8</f>
        <v>250500.25</v>
      </c>
      <c r="H8" s="217">
        <f aca="true" t="shared" si="3" ref="H8">+G8*0.012/12+G8</f>
        <v>250750.75025</v>
      </c>
      <c r="I8" s="217">
        <f aca="true" t="shared" si="4" ref="I8">+H8*0.012/12+H8</f>
        <v>251001.50100025002</v>
      </c>
      <c r="J8" s="217">
        <f aca="true" t="shared" si="5" ref="J8">+I8*0.012/12+I8</f>
        <v>251252.50250125027</v>
      </c>
      <c r="K8" s="217">
        <f aca="true" t="shared" si="6" ref="K8">+J8*0.012/12+J8</f>
        <v>251503.75500375152</v>
      </c>
      <c r="L8" s="217">
        <f aca="true" t="shared" si="7" ref="L8">+K8*0.012/12+K8</f>
        <v>251755.25875875526</v>
      </c>
      <c r="M8" s="217">
        <f aca="true" t="shared" si="8" ref="M8">+L8*0.012/12+L8</f>
        <v>252007.014017514</v>
      </c>
      <c r="N8" s="217">
        <f aca="true" t="shared" si="9" ref="N8">+M8*0.012/12+M8</f>
        <v>252259.02103153153</v>
      </c>
      <c r="O8" s="217">
        <f aca="true" t="shared" si="10" ref="O8">+N8*0.012/12+N8</f>
        <v>252511.28005256306</v>
      </c>
      <c r="P8" s="217">
        <f aca="true" t="shared" si="11" ref="P8">+O8*0.012/12+O8</f>
        <v>252763.79133261563</v>
      </c>
      <c r="Q8" s="215"/>
      <c r="R8" s="218">
        <f>SUM(E8:Q8)</f>
        <v>3016555.1239482313</v>
      </c>
    </row>
    <row r="9" spans="1:18" ht="15">
      <c r="A9" s="349" t="s">
        <v>96</v>
      </c>
      <c r="B9" s="349"/>
      <c r="C9" s="349"/>
      <c r="D9" s="216"/>
      <c r="E9" s="217">
        <v>10</v>
      </c>
      <c r="F9" s="217">
        <v>11</v>
      </c>
      <c r="G9" s="217">
        <v>12</v>
      </c>
      <c r="H9" s="217">
        <v>13</v>
      </c>
      <c r="I9" s="217">
        <v>14</v>
      </c>
      <c r="J9" s="217">
        <v>15</v>
      </c>
      <c r="K9" s="217">
        <v>16</v>
      </c>
      <c r="L9" s="217">
        <v>17</v>
      </c>
      <c r="M9" s="217">
        <v>18</v>
      </c>
      <c r="N9" s="217">
        <v>19</v>
      </c>
      <c r="O9" s="217">
        <v>20</v>
      </c>
      <c r="P9" s="217">
        <v>21</v>
      </c>
      <c r="Q9" s="215"/>
      <c r="R9" s="218"/>
    </row>
    <row r="10" spans="1:18" ht="15">
      <c r="A10" s="349" t="s">
        <v>97</v>
      </c>
      <c r="B10" s="349"/>
      <c r="C10" s="349"/>
      <c r="D10" s="216"/>
      <c r="E10" s="217">
        <f>+E8*E9/1000</f>
        <v>2500</v>
      </c>
      <c r="F10" s="217">
        <f aca="true" t="shared" si="12" ref="F10:P10">+F8*F9/1000</f>
        <v>2752.75</v>
      </c>
      <c r="G10" s="217">
        <f t="shared" si="12"/>
        <v>3006.003</v>
      </c>
      <c r="H10" s="217">
        <f t="shared" si="12"/>
        <v>3259.75975325</v>
      </c>
      <c r="I10" s="217">
        <f t="shared" si="12"/>
        <v>3514.0210140035006</v>
      </c>
      <c r="J10" s="217">
        <f t="shared" si="12"/>
        <v>3768.787537518754</v>
      </c>
      <c r="K10" s="217">
        <f t="shared" si="12"/>
        <v>4024.060080060024</v>
      </c>
      <c r="L10" s="217">
        <f t="shared" si="12"/>
        <v>4279.839398898839</v>
      </c>
      <c r="M10" s="217">
        <f t="shared" si="12"/>
        <v>4536.126252315252</v>
      </c>
      <c r="N10" s="217">
        <f t="shared" si="12"/>
        <v>4792.9213995990995</v>
      </c>
      <c r="O10" s="217">
        <f t="shared" si="12"/>
        <v>5050.225601051262</v>
      </c>
      <c r="P10" s="217">
        <f t="shared" si="12"/>
        <v>5308.039617984929</v>
      </c>
      <c r="Q10" s="215"/>
      <c r="R10" s="218"/>
    </row>
    <row r="11" spans="1:18" ht="15">
      <c r="A11" s="349" t="s">
        <v>248</v>
      </c>
      <c r="B11" s="349"/>
      <c r="C11" s="349"/>
      <c r="D11" s="216"/>
      <c r="E11" s="217">
        <v>292000</v>
      </c>
      <c r="F11" s="217">
        <f aca="true" t="shared" si="13" ref="F11">+E11*0.012/12+E11</f>
        <v>292292</v>
      </c>
      <c r="G11" s="217">
        <f aca="true" t="shared" si="14" ref="G11">+F11*0.012/12+F11</f>
        <v>292584.292</v>
      </c>
      <c r="H11" s="217">
        <f aca="true" t="shared" si="15" ref="H11">+G11*0.012/12+G11</f>
        <v>292876.876292</v>
      </c>
      <c r="I11" s="217">
        <f aca="true" t="shared" si="16" ref="I11">+H11*0.012/12+H11</f>
        <v>293169.753168292</v>
      </c>
      <c r="J11" s="217">
        <f aca="true" t="shared" si="17" ref="J11">+I11*0.012/12+I11</f>
        <v>293462.9229214603</v>
      </c>
      <c r="K11" s="217">
        <f aca="true" t="shared" si="18" ref="K11">+J11*0.012/12+J11</f>
        <v>293756.38584438176</v>
      </c>
      <c r="L11" s="217">
        <f aca="true" t="shared" si="19" ref="L11">+K11*0.012/12+K11</f>
        <v>294050.14223022613</v>
      </c>
      <c r="M11" s="217">
        <f aca="true" t="shared" si="20" ref="M11">+L11*0.012/12+L11</f>
        <v>294344.19237245637</v>
      </c>
      <c r="N11" s="217">
        <f aca="true" t="shared" si="21" ref="N11">+M11*0.012/12+M11</f>
        <v>294638.5365648288</v>
      </c>
      <c r="O11" s="217">
        <f aca="true" t="shared" si="22" ref="O11">+N11*0.012/12+N11</f>
        <v>294933.17510139366</v>
      </c>
      <c r="P11" s="217">
        <f aca="true" t="shared" si="23" ref="P11">+O11*0.012/12+O11</f>
        <v>295228.10827649507</v>
      </c>
      <c r="Q11" s="215"/>
      <c r="R11" s="218">
        <f>SUM(E11:Q11)</f>
        <v>3523336.3847715342</v>
      </c>
    </row>
    <row r="12" spans="1:18" ht="15">
      <c r="A12" s="349" t="s">
        <v>96</v>
      </c>
      <c r="B12" s="349"/>
      <c r="C12" s="349"/>
      <c r="D12" s="216"/>
      <c r="E12" s="217">
        <v>8</v>
      </c>
      <c r="F12" s="217">
        <v>9</v>
      </c>
      <c r="G12" s="217">
        <v>10</v>
      </c>
      <c r="H12" s="217">
        <v>11</v>
      </c>
      <c r="I12" s="217">
        <v>12</v>
      </c>
      <c r="J12" s="217">
        <v>13</v>
      </c>
      <c r="K12" s="217">
        <v>14</v>
      </c>
      <c r="L12" s="217">
        <v>15</v>
      </c>
      <c r="M12" s="217">
        <v>16</v>
      </c>
      <c r="N12" s="217">
        <v>17</v>
      </c>
      <c r="O12" s="217">
        <v>18</v>
      </c>
      <c r="P12" s="217">
        <v>19</v>
      </c>
      <c r="Q12" s="215"/>
      <c r="R12" s="218"/>
    </row>
    <row r="13" spans="1:18" ht="15">
      <c r="A13" s="349" t="s">
        <v>249</v>
      </c>
      <c r="B13" s="349"/>
      <c r="C13" s="349"/>
      <c r="D13" s="216"/>
      <c r="E13" s="217">
        <f>+E11*E12/1000</f>
        <v>2336</v>
      </c>
      <c r="F13" s="217">
        <f aca="true" t="shared" si="24" ref="F13:P13">+F11*F12/1000</f>
        <v>2630.628</v>
      </c>
      <c r="G13" s="217">
        <f t="shared" si="24"/>
        <v>2925.84292</v>
      </c>
      <c r="H13" s="217">
        <f t="shared" si="24"/>
        <v>3221.6456392120003</v>
      </c>
      <c r="I13" s="217">
        <f t="shared" si="24"/>
        <v>3518.037038019504</v>
      </c>
      <c r="J13" s="217">
        <f t="shared" si="24"/>
        <v>3815.017997978984</v>
      </c>
      <c r="K13" s="217">
        <f t="shared" si="24"/>
        <v>4112.589401821345</v>
      </c>
      <c r="L13" s="217">
        <f t="shared" si="24"/>
        <v>4410.752133453392</v>
      </c>
      <c r="M13" s="217">
        <f t="shared" si="24"/>
        <v>4709.507077959302</v>
      </c>
      <c r="N13" s="217">
        <f t="shared" si="24"/>
        <v>5008.85512160209</v>
      </c>
      <c r="O13" s="217">
        <f t="shared" si="24"/>
        <v>5308.797151825086</v>
      </c>
      <c r="P13" s="217">
        <f t="shared" si="24"/>
        <v>5609.334057253406</v>
      </c>
      <c r="Q13" s="215"/>
      <c r="R13" s="218"/>
    </row>
    <row r="14" spans="1:18" ht="15">
      <c r="A14" s="349" t="s">
        <v>98</v>
      </c>
      <c r="B14" s="349"/>
      <c r="C14" s="349"/>
      <c r="D14" s="216"/>
      <c r="E14" s="217">
        <f>+E7+E10+E13</f>
        <v>4934.142</v>
      </c>
      <c r="F14" s="217">
        <f>+F7+F10+F13</f>
        <v>5514.364856</v>
      </c>
      <c r="G14" s="217">
        <f>+G7+G10+G13</f>
        <v>6095.74322357</v>
      </c>
      <c r="H14" s="217">
        <f aca="true" t="shared" si="25" ref="H14:P14">+H7+H10+H13</f>
        <v>6678.278833510284</v>
      </c>
      <c r="I14" s="217">
        <f t="shared" si="25"/>
        <v>7261.973418927226</v>
      </c>
      <c r="J14" s="217">
        <f t="shared" si="25"/>
        <v>7846.828715236167</v>
      </c>
      <c r="K14" s="217">
        <f t="shared" si="25"/>
        <v>8432.846460164306</v>
      </c>
      <c r="L14" s="217">
        <f t="shared" si="25"/>
        <v>9020.028393753588</v>
      </c>
      <c r="M14" s="217">
        <f t="shared" si="25"/>
        <v>9608.376258363587</v>
      </c>
      <c r="N14" s="217">
        <f t="shared" si="25"/>
        <v>10197.891798674415</v>
      </c>
      <c r="O14" s="217">
        <f t="shared" si="25"/>
        <v>10788.576761689605</v>
      </c>
      <c r="P14" s="217">
        <f t="shared" si="25"/>
        <v>11380.432896739025</v>
      </c>
      <c r="Q14" s="215"/>
      <c r="R14" s="218"/>
    </row>
    <row r="15" spans="1:18" ht="15">
      <c r="A15" s="349" t="s">
        <v>85</v>
      </c>
      <c r="B15" s="349"/>
      <c r="C15" s="349"/>
      <c r="D15" s="216"/>
      <c r="E15" s="217">
        <v>3</v>
      </c>
      <c r="F15" s="217">
        <v>3</v>
      </c>
      <c r="G15" s="217">
        <v>3</v>
      </c>
      <c r="H15" s="217">
        <v>3</v>
      </c>
      <c r="I15" s="217">
        <v>3</v>
      </c>
      <c r="J15" s="217">
        <v>3</v>
      </c>
      <c r="K15" s="217">
        <v>3</v>
      </c>
      <c r="L15" s="217">
        <v>3</v>
      </c>
      <c r="M15" s="217">
        <v>3</v>
      </c>
      <c r="N15" s="217">
        <v>3</v>
      </c>
      <c r="O15" s="217">
        <v>3</v>
      </c>
      <c r="P15" s="217">
        <v>3</v>
      </c>
      <c r="Q15" s="215"/>
      <c r="R15" s="218"/>
    </row>
    <row r="16" spans="1:18" ht="15">
      <c r="A16" s="349" t="s">
        <v>99</v>
      </c>
      <c r="B16" s="349"/>
      <c r="C16" s="349"/>
      <c r="D16" s="216"/>
      <c r="E16" s="217">
        <f>E14</f>
        <v>4934.142</v>
      </c>
      <c r="F16" s="217">
        <f aca="true" t="shared" si="26" ref="F16:P16">F14</f>
        <v>5514.364856</v>
      </c>
      <c r="G16" s="217">
        <f t="shared" si="26"/>
        <v>6095.74322357</v>
      </c>
      <c r="H16" s="217">
        <f t="shared" si="26"/>
        <v>6678.278833510284</v>
      </c>
      <c r="I16" s="217">
        <f t="shared" si="26"/>
        <v>7261.973418927226</v>
      </c>
      <c r="J16" s="217">
        <f t="shared" si="26"/>
        <v>7846.828715236167</v>
      </c>
      <c r="K16" s="217">
        <f t="shared" si="26"/>
        <v>8432.846460164306</v>
      </c>
      <c r="L16" s="217">
        <f t="shared" si="26"/>
        <v>9020.028393753588</v>
      </c>
      <c r="M16" s="217">
        <f t="shared" si="26"/>
        <v>9608.376258363587</v>
      </c>
      <c r="N16" s="217">
        <f t="shared" si="26"/>
        <v>10197.891798674415</v>
      </c>
      <c r="O16" s="217">
        <f t="shared" si="26"/>
        <v>10788.576761689605</v>
      </c>
      <c r="P16" s="217">
        <f t="shared" si="26"/>
        <v>11380.432896739025</v>
      </c>
      <c r="Q16" s="215"/>
      <c r="R16" s="218">
        <f>SUM(E16:Q16)</f>
        <v>97759.48361662822</v>
      </c>
    </row>
    <row r="17" spans="1:18" ht="15">
      <c r="A17" s="349" t="s">
        <v>100</v>
      </c>
      <c r="B17" s="349"/>
      <c r="C17" s="349"/>
      <c r="D17" s="216"/>
      <c r="E17" s="217">
        <f>+E16/E15</f>
        <v>1644.714</v>
      </c>
      <c r="F17" s="217">
        <f>+F16/F15</f>
        <v>1838.1216186666668</v>
      </c>
      <c r="G17" s="217">
        <f aca="true" t="shared" si="27" ref="G17:P17">+G16/G15</f>
        <v>2031.9144078566667</v>
      </c>
      <c r="H17" s="217">
        <f t="shared" si="27"/>
        <v>2226.092944503428</v>
      </c>
      <c r="I17" s="217">
        <f t="shared" si="27"/>
        <v>2420.657806309075</v>
      </c>
      <c r="J17" s="217">
        <f t="shared" si="27"/>
        <v>2615.609571745389</v>
      </c>
      <c r="K17" s="217">
        <f t="shared" si="27"/>
        <v>2810.948820054769</v>
      </c>
      <c r="L17" s="217">
        <f t="shared" si="27"/>
        <v>3006.676131251196</v>
      </c>
      <c r="M17" s="217">
        <f t="shared" si="27"/>
        <v>3202.7920861211956</v>
      </c>
      <c r="N17" s="217">
        <f t="shared" si="27"/>
        <v>3399.297266224805</v>
      </c>
      <c r="O17" s="217">
        <f t="shared" si="27"/>
        <v>3596.192253896535</v>
      </c>
      <c r="P17" s="217">
        <f t="shared" si="27"/>
        <v>3793.4776322463417</v>
      </c>
      <c r="Q17" s="215"/>
      <c r="R17" s="218">
        <f>SUM(E17:Q17)</f>
        <v>32586.494538876068</v>
      </c>
    </row>
    <row r="18" spans="1:18" ht="15">
      <c r="A18" s="349" t="s">
        <v>235</v>
      </c>
      <c r="B18" s="349"/>
      <c r="C18" s="349"/>
      <c r="D18" s="216"/>
      <c r="E18" s="217">
        <f>+E17*0.125/16</f>
        <v>12.849328125</v>
      </c>
      <c r="F18" s="217">
        <f>+F17*0.125/16</f>
        <v>14.360325145833334</v>
      </c>
      <c r="G18" s="217">
        <f aca="true" t="shared" si="28" ref="G18:P18">+G17*0.125/16</f>
        <v>15.874331311380208</v>
      </c>
      <c r="H18" s="217">
        <f t="shared" si="28"/>
        <v>17.39135112893303</v>
      </c>
      <c r="I18" s="217">
        <f t="shared" si="28"/>
        <v>18.91138911178965</v>
      </c>
      <c r="J18" s="217">
        <f t="shared" si="28"/>
        <v>20.434449779260852</v>
      </c>
      <c r="K18" s="217">
        <f t="shared" si="28"/>
        <v>21.960537656677882</v>
      </c>
      <c r="L18" s="217">
        <f t="shared" si="28"/>
        <v>23.489657275399967</v>
      </c>
      <c r="M18" s="217">
        <f t="shared" si="28"/>
        <v>25.02181317282184</v>
      </c>
      <c r="N18" s="217">
        <f t="shared" si="28"/>
        <v>26.557009892381288</v>
      </c>
      <c r="O18" s="217">
        <f t="shared" si="28"/>
        <v>28.09525198356668</v>
      </c>
      <c r="P18" s="217">
        <f t="shared" si="28"/>
        <v>29.636544001924545</v>
      </c>
      <c r="Q18" s="215"/>
      <c r="R18" s="218"/>
    </row>
    <row r="19" spans="1:18" ht="15">
      <c r="A19" s="349" t="s">
        <v>101</v>
      </c>
      <c r="B19" s="349"/>
      <c r="C19" s="349"/>
      <c r="D19" s="216"/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  <c r="Q19" s="215"/>
      <c r="R19" s="218"/>
    </row>
    <row r="20" spans="1:18" ht="15">
      <c r="A20" s="217"/>
      <c r="B20" s="217"/>
      <c r="C20" s="217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5"/>
      <c r="R20" s="218"/>
    </row>
    <row r="21" spans="1:18" ht="15">
      <c r="A21" s="349" t="s">
        <v>236</v>
      </c>
      <c r="B21" s="349"/>
      <c r="C21" s="349"/>
      <c r="D21" s="216"/>
      <c r="E21" s="275">
        <f>E18*(1-E19)</f>
        <v>12.849328125</v>
      </c>
      <c r="F21" s="275">
        <f>F18*(1-F19)</f>
        <v>14.360325145833334</v>
      </c>
      <c r="G21" s="275">
        <f aca="true" t="shared" si="29" ref="G21:P21">G18*(1-G19)</f>
        <v>15.874331311380208</v>
      </c>
      <c r="H21" s="275">
        <f t="shared" si="29"/>
        <v>17.39135112893303</v>
      </c>
      <c r="I21" s="275">
        <f t="shared" si="29"/>
        <v>18.91138911178965</v>
      </c>
      <c r="J21" s="275">
        <f t="shared" si="29"/>
        <v>20.434449779260852</v>
      </c>
      <c r="K21" s="275">
        <f t="shared" si="29"/>
        <v>21.960537656677882</v>
      </c>
      <c r="L21" s="275">
        <f t="shared" si="29"/>
        <v>23.489657275399967</v>
      </c>
      <c r="M21" s="275">
        <f t="shared" si="29"/>
        <v>25.02181317282184</v>
      </c>
      <c r="N21" s="275">
        <f t="shared" si="29"/>
        <v>26.557009892381288</v>
      </c>
      <c r="O21" s="275">
        <f t="shared" si="29"/>
        <v>28.09525198356668</v>
      </c>
      <c r="P21" s="275">
        <f t="shared" si="29"/>
        <v>29.636544001924545</v>
      </c>
      <c r="Q21" s="215"/>
      <c r="R21" s="218">
        <f>SUM(E21:Q21)</f>
        <v>254.58198858496928</v>
      </c>
    </row>
    <row r="22" spans="1:18" ht="15">
      <c r="A22" s="219"/>
      <c r="B22" s="219"/>
      <c r="C22" s="219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5"/>
      <c r="R22" s="218"/>
    </row>
    <row r="23" spans="1:18" ht="15">
      <c r="A23" s="220" t="s">
        <v>102</v>
      </c>
      <c r="B23" s="351" t="s">
        <v>104</v>
      </c>
      <c r="C23" s="351"/>
      <c r="D23" s="221"/>
      <c r="E23" s="222">
        <f>E18*0.75</f>
        <v>9.63699609375</v>
      </c>
      <c r="F23" s="222">
        <f>F18*0.75</f>
        <v>10.770243859375</v>
      </c>
      <c r="G23" s="222">
        <f aca="true" t="shared" si="30" ref="G23:P23">G18*0.75</f>
        <v>11.905748483535156</v>
      </c>
      <c r="H23" s="222">
        <f t="shared" si="30"/>
        <v>13.043513346699774</v>
      </c>
      <c r="I23" s="222">
        <f t="shared" si="30"/>
        <v>14.183541833842238</v>
      </c>
      <c r="J23" s="222">
        <f t="shared" si="30"/>
        <v>15.32583733444564</v>
      </c>
      <c r="K23" s="222">
        <f t="shared" si="30"/>
        <v>16.47040324250841</v>
      </c>
      <c r="L23" s="222">
        <f t="shared" si="30"/>
        <v>17.617242956549976</v>
      </c>
      <c r="M23" s="222">
        <f t="shared" si="30"/>
        <v>18.76635987961638</v>
      </c>
      <c r="N23" s="222">
        <f t="shared" si="30"/>
        <v>19.917757419285966</v>
      </c>
      <c r="O23" s="222">
        <f t="shared" si="30"/>
        <v>21.07143898767501</v>
      </c>
      <c r="P23" s="222">
        <f t="shared" si="30"/>
        <v>22.227408001443408</v>
      </c>
      <c r="Q23" s="215"/>
      <c r="R23" s="218"/>
    </row>
    <row r="24" spans="1:18" ht="15">
      <c r="A24" s="220" t="s">
        <v>86</v>
      </c>
      <c r="B24" s="351" t="s">
        <v>105</v>
      </c>
      <c r="C24" s="351"/>
      <c r="D24" s="221"/>
      <c r="E24" s="222">
        <f>E18*0.25</f>
        <v>3.21233203125</v>
      </c>
      <c r="F24" s="222">
        <f>F18*0.25</f>
        <v>3.5900812864583336</v>
      </c>
      <c r="G24" s="222">
        <f aca="true" t="shared" si="31" ref="G24:P24">G18*0.25</f>
        <v>3.968582827845052</v>
      </c>
      <c r="H24" s="222">
        <f t="shared" si="31"/>
        <v>4.347837782233258</v>
      </c>
      <c r="I24" s="222">
        <f t="shared" si="31"/>
        <v>4.727847277947412</v>
      </c>
      <c r="J24" s="222">
        <f t="shared" si="31"/>
        <v>5.108612444815213</v>
      </c>
      <c r="K24" s="222">
        <f t="shared" si="31"/>
        <v>5.490134414169471</v>
      </c>
      <c r="L24" s="222">
        <f t="shared" si="31"/>
        <v>5.872414318849992</v>
      </c>
      <c r="M24" s="222">
        <f t="shared" si="31"/>
        <v>6.25545329320546</v>
      </c>
      <c r="N24" s="222">
        <f t="shared" si="31"/>
        <v>6.639252473095322</v>
      </c>
      <c r="O24" s="222">
        <f t="shared" si="31"/>
        <v>7.02381299589167</v>
      </c>
      <c r="P24" s="222">
        <f t="shared" si="31"/>
        <v>7.409136000481136</v>
      </c>
      <c r="Q24" s="215"/>
      <c r="R24" s="218"/>
    </row>
    <row r="25" spans="1:18" ht="15">
      <c r="A25" s="220" t="s">
        <v>63</v>
      </c>
      <c r="B25" s="351" t="s">
        <v>106</v>
      </c>
      <c r="C25" s="351"/>
      <c r="D25" s="221"/>
      <c r="E25" s="222">
        <f>E18*0.05</f>
        <v>0.6424664062500001</v>
      </c>
      <c r="F25" s="222">
        <f aca="true" t="shared" si="32" ref="F25:P25">F18*0.05</f>
        <v>0.7180162572916667</v>
      </c>
      <c r="G25" s="222">
        <f t="shared" si="32"/>
        <v>0.7937165655690105</v>
      </c>
      <c r="H25" s="222">
        <f t="shared" si="32"/>
        <v>0.8695675564466516</v>
      </c>
      <c r="I25" s="222">
        <f t="shared" si="32"/>
        <v>0.9455694555894825</v>
      </c>
      <c r="J25" s="222">
        <f t="shared" si="32"/>
        <v>1.0217224889630427</v>
      </c>
      <c r="K25" s="222">
        <f t="shared" si="32"/>
        <v>1.0980268828338942</v>
      </c>
      <c r="L25" s="222">
        <f t="shared" si="32"/>
        <v>1.1744828637699984</v>
      </c>
      <c r="M25" s="222">
        <f t="shared" si="32"/>
        <v>1.2510906586410921</v>
      </c>
      <c r="N25" s="222">
        <f t="shared" si="32"/>
        <v>1.3278504946190646</v>
      </c>
      <c r="O25" s="222">
        <f t="shared" si="32"/>
        <v>1.4047625991783341</v>
      </c>
      <c r="P25" s="222">
        <f t="shared" si="32"/>
        <v>1.4818272000962274</v>
      </c>
      <c r="Q25" s="215"/>
      <c r="R25" s="218"/>
    </row>
    <row r="26" spans="1:18" ht="15">
      <c r="A26" s="220" t="s">
        <v>107</v>
      </c>
      <c r="B26" s="351" t="s">
        <v>108</v>
      </c>
      <c r="C26" s="351"/>
      <c r="D26" s="221"/>
      <c r="E26" s="222">
        <f>E18*0.007</f>
        <v>0.089945296875</v>
      </c>
      <c r="F26" s="222">
        <f aca="true" t="shared" si="33" ref="F26:P26">F18*0.007</f>
        <v>0.10052227602083334</v>
      </c>
      <c r="G26" s="222">
        <f t="shared" si="33"/>
        <v>0.11112031917966146</v>
      </c>
      <c r="H26" s="222">
        <f t="shared" si="33"/>
        <v>0.12173945790253123</v>
      </c>
      <c r="I26" s="222">
        <f t="shared" si="33"/>
        <v>0.13237972378252755</v>
      </c>
      <c r="J26" s="222">
        <f t="shared" si="33"/>
        <v>0.14304114845482596</v>
      </c>
      <c r="K26" s="222">
        <f t="shared" si="33"/>
        <v>0.15372376359674517</v>
      </c>
      <c r="L26" s="222">
        <f t="shared" si="33"/>
        <v>0.16442760092779976</v>
      </c>
      <c r="M26" s="222">
        <f t="shared" si="33"/>
        <v>0.17515269220975288</v>
      </c>
      <c r="N26" s="222">
        <f t="shared" si="33"/>
        <v>0.18589906924666902</v>
      </c>
      <c r="O26" s="222">
        <f t="shared" si="33"/>
        <v>0.19666676388496676</v>
      </c>
      <c r="P26" s="222">
        <f t="shared" si="33"/>
        <v>0.20745580801347183</v>
      </c>
      <c r="Q26" s="215"/>
      <c r="R26" s="218"/>
    </row>
    <row r="27" spans="1:18" ht="15">
      <c r="A27" s="220" t="s">
        <v>112</v>
      </c>
      <c r="B27" s="351" t="s">
        <v>119</v>
      </c>
      <c r="C27" s="351"/>
      <c r="D27" s="221"/>
      <c r="E27" s="222">
        <f>E17*0.2</f>
        <v>328.94280000000003</v>
      </c>
      <c r="F27" s="222">
        <f aca="true" t="shared" si="34" ref="F27:P27">F17*0.2</f>
        <v>367.62432373333337</v>
      </c>
      <c r="G27" s="222">
        <f t="shared" si="34"/>
        <v>406.38288157133337</v>
      </c>
      <c r="H27" s="222">
        <f t="shared" si="34"/>
        <v>445.21858890068563</v>
      </c>
      <c r="I27" s="222">
        <f t="shared" si="34"/>
        <v>484.131561261815</v>
      </c>
      <c r="J27" s="222">
        <f t="shared" si="34"/>
        <v>523.1219143490779</v>
      </c>
      <c r="K27" s="222">
        <f t="shared" si="34"/>
        <v>562.1897640109538</v>
      </c>
      <c r="L27" s="222">
        <f t="shared" si="34"/>
        <v>601.3352262502392</v>
      </c>
      <c r="M27" s="222">
        <f t="shared" si="34"/>
        <v>640.5584172242392</v>
      </c>
      <c r="N27" s="222">
        <f t="shared" si="34"/>
        <v>679.8594532449611</v>
      </c>
      <c r="O27" s="222">
        <f t="shared" si="34"/>
        <v>719.2384507793071</v>
      </c>
      <c r="P27" s="222">
        <f t="shared" si="34"/>
        <v>758.6955264492684</v>
      </c>
      <c r="Q27" s="215"/>
      <c r="R27" s="218"/>
    </row>
    <row r="28" spans="1:18" ht="15">
      <c r="A28" s="220"/>
      <c r="B28" s="223"/>
      <c r="C28" s="223"/>
      <c r="D28" s="221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15"/>
      <c r="R28" s="218"/>
    </row>
    <row r="29" spans="1:18" ht="14.25">
      <c r="A29" s="254" t="s">
        <v>237</v>
      </c>
      <c r="B29" s="221"/>
      <c r="C29" s="221"/>
      <c r="D29" s="221"/>
      <c r="E29" s="215" t="s">
        <v>0</v>
      </c>
      <c r="F29" s="215" t="s">
        <v>1</v>
      </c>
      <c r="G29" s="215" t="s">
        <v>2</v>
      </c>
      <c r="H29" s="215" t="s">
        <v>3</v>
      </c>
      <c r="I29" s="215" t="s">
        <v>4</v>
      </c>
      <c r="J29" s="215" t="s">
        <v>5</v>
      </c>
      <c r="K29" s="215" t="s">
        <v>6</v>
      </c>
      <c r="L29" s="215" t="s">
        <v>7</v>
      </c>
      <c r="M29" s="215" t="s">
        <v>8</v>
      </c>
      <c r="N29" s="215" t="s">
        <v>9</v>
      </c>
      <c r="O29" s="215" t="s">
        <v>10</v>
      </c>
      <c r="P29" s="215" t="s">
        <v>11</v>
      </c>
      <c r="Q29" s="224"/>
      <c r="R29" s="215" t="s">
        <v>12</v>
      </c>
    </row>
    <row r="30" spans="1:18" ht="15">
      <c r="A30" s="220" t="s">
        <v>45</v>
      </c>
      <c r="B30" s="225" t="s">
        <v>109</v>
      </c>
      <c r="C30" s="225" t="s">
        <v>69</v>
      </c>
      <c r="D30" s="221"/>
      <c r="E30" s="222">
        <f>E23*454</f>
        <v>4375.1962265625</v>
      </c>
      <c r="F30" s="222">
        <f aca="true" t="shared" si="35" ref="F30:P30">F23*454</f>
        <v>4889.69071215625</v>
      </c>
      <c r="G30" s="222">
        <f t="shared" si="35"/>
        <v>5405.209811524961</v>
      </c>
      <c r="H30" s="222">
        <f t="shared" si="35"/>
        <v>5921.7550594016975</v>
      </c>
      <c r="I30" s="222">
        <f t="shared" si="35"/>
        <v>6439.327992564376</v>
      </c>
      <c r="J30" s="222">
        <f t="shared" si="35"/>
        <v>6957.93014983832</v>
      </c>
      <c r="K30" s="222">
        <f t="shared" si="35"/>
        <v>7477.563072098818</v>
      </c>
      <c r="L30" s="222">
        <f t="shared" si="35"/>
        <v>7998.228302273689</v>
      </c>
      <c r="M30" s="222">
        <f t="shared" si="35"/>
        <v>8519.927385345836</v>
      </c>
      <c r="N30" s="222">
        <f t="shared" si="35"/>
        <v>9042.661868355828</v>
      </c>
      <c r="O30" s="222">
        <f t="shared" si="35"/>
        <v>9566.433300404455</v>
      </c>
      <c r="P30" s="222">
        <f t="shared" si="35"/>
        <v>10091.243232655306</v>
      </c>
      <c r="Q30" s="226"/>
      <c r="R30" s="218"/>
    </row>
    <row r="31" spans="1:18" ht="15">
      <c r="A31" s="220" t="s">
        <v>238</v>
      </c>
      <c r="B31" s="225" t="s">
        <v>109</v>
      </c>
      <c r="C31" s="225" t="s">
        <v>67</v>
      </c>
      <c r="D31" s="221"/>
      <c r="E31" s="222">
        <f>E24*454*0.15</f>
        <v>218.75981132812498</v>
      </c>
      <c r="F31" s="222">
        <f aca="true" t="shared" si="36" ref="F31:P31">F24*454*0.15</f>
        <v>244.48453560781252</v>
      </c>
      <c r="G31" s="222">
        <f t="shared" si="36"/>
        <v>270.26049057624806</v>
      </c>
      <c r="H31" s="222">
        <f t="shared" si="36"/>
        <v>296.08775297008486</v>
      </c>
      <c r="I31" s="222">
        <f t="shared" si="36"/>
        <v>321.96639962821877</v>
      </c>
      <c r="J31" s="222">
        <f t="shared" si="36"/>
        <v>347.896507491916</v>
      </c>
      <c r="K31" s="222">
        <f t="shared" si="36"/>
        <v>373.87815360494096</v>
      </c>
      <c r="L31" s="222">
        <f t="shared" si="36"/>
        <v>399.9114151136844</v>
      </c>
      <c r="M31" s="222">
        <f t="shared" si="36"/>
        <v>425.9963692672918</v>
      </c>
      <c r="N31" s="222">
        <f t="shared" si="36"/>
        <v>452.13309341779143</v>
      </c>
      <c r="O31" s="222">
        <f t="shared" si="36"/>
        <v>478.3216650202227</v>
      </c>
      <c r="P31" s="222">
        <f t="shared" si="36"/>
        <v>504.56216163276537</v>
      </c>
      <c r="Q31" s="226"/>
      <c r="R31" s="218"/>
    </row>
    <row r="32" spans="1:18" ht="15">
      <c r="A32" s="220" t="s">
        <v>110</v>
      </c>
      <c r="B32" s="225" t="s">
        <v>109</v>
      </c>
      <c r="C32" s="225" t="s">
        <v>103</v>
      </c>
      <c r="D32" s="221"/>
      <c r="E32" s="222">
        <f>E24*454*0.08</f>
        <v>116.671899375</v>
      </c>
      <c r="F32" s="222">
        <f aca="true" t="shared" si="37" ref="F32:P32">F24*454*0.08</f>
        <v>130.39175232416667</v>
      </c>
      <c r="G32" s="222">
        <f t="shared" si="37"/>
        <v>144.1389283073323</v>
      </c>
      <c r="H32" s="222">
        <f t="shared" si="37"/>
        <v>157.91346825071193</v>
      </c>
      <c r="I32" s="222">
        <f t="shared" si="37"/>
        <v>171.71541313505</v>
      </c>
      <c r="J32" s="222">
        <f t="shared" si="37"/>
        <v>185.54480399568854</v>
      </c>
      <c r="K32" s="222">
        <f t="shared" si="37"/>
        <v>199.4016819226352</v>
      </c>
      <c r="L32" s="222">
        <f t="shared" si="37"/>
        <v>213.2860880606317</v>
      </c>
      <c r="M32" s="222">
        <f t="shared" si="37"/>
        <v>227.19806360922232</v>
      </c>
      <c r="N32" s="222">
        <f t="shared" si="37"/>
        <v>241.1376498228221</v>
      </c>
      <c r="O32" s="222">
        <f t="shared" si="37"/>
        <v>255.1048880107855</v>
      </c>
      <c r="P32" s="222">
        <f t="shared" si="37"/>
        <v>269.0998195374749</v>
      </c>
      <c r="Q32" s="226"/>
      <c r="R32" s="218"/>
    </row>
    <row r="33" spans="1:18" ht="15">
      <c r="A33" s="220" t="s">
        <v>111</v>
      </c>
      <c r="B33" s="225" t="s">
        <v>109</v>
      </c>
      <c r="C33" s="225" t="s">
        <v>103</v>
      </c>
      <c r="D33" s="221"/>
      <c r="E33" s="222">
        <f>E24*454*0.2</f>
        <v>291.6797484375</v>
      </c>
      <c r="F33" s="222">
        <f aca="true" t="shared" si="38" ref="F33:P33">F24*454*0.2</f>
        <v>325.9793808104167</v>
      </c>
      <c r="G33" s="222">
        <f t="shared" si="38"/>
        <v>360.34732076833075</v>
      </c>
      <c r="H33" s="222">
        <f t="shared" si="38"/>
        <v>394.78367062677984</v>
      </c>
      <c r="I33" s="222">
        <f t="shared" si="38"/>
        <v>429.28853283762504</v>
      </c>
      <c r="J33" s="222">
        <f t="shared" si="38"/>
        <v>463.86200998922135</v>
      </c>
      <c r="K33" s="222">
        <f t="shared" si="38"/>
        <v>498.50420480658795</v>
      </c>
      <c r="L33" s="222">
        <f t="shared" si="38"/>
        <v>533.2152201515793</v>
      </c>
      <c r="M33" s="222">
        <f t="shared" si="38"/>
        <v>567.9951590230557</v>
      </c>
      <c r="N33" s="222">
        <f t="shared" si="38"/>
        <v>602.8441245570552</v>
      </c>
      <c r="O33" s="222">
        <f t="shared" si="38"/>
        <v>637.7622200269637</v>
      </c>
      <c r="P33" s="222">
        <f t="shared" si="38"/>
        <v>672.7495488436872</v>
      </c>
      <c r="Q33" s="226"/>
      <c r="R33" s="218"/>
    </row>
    <row r="34" spans="1:18" ht="15">
      <c r="A34" s="227" t="s">
        <v>63</v>
      </c>
      <c r="B34" s="225" t="s">
        <v>65</v>
      </c>
      <c r="C34" s="225" t="s">
        <v>68</v>
      </c>
      <c r="D34" s="221"/>
      <c r="E34" s="222">
        <f>E25*454</f>
        <v>291.67974843750005</v>
      </c>
      <c r="F34" s="222">
        <f aca="true" t="shared" si="39" ref="F34:P34">F25*454</f>
        <v>325.97938081041667</v>
      </c>
      <c r="G34" s="222">
        <f t="shared" si="39"/>
        <v>360.34732076833075</v>
      </c>
      <c r="H34" s="222">
        <f t="shared" si="39"/>
        <v>394.78367062677984</v>
      </c>
      <c r="I34" s="222">
        <f t="shared" si="39"/>
        <v>429.28853283762504</v>
      </c>
      <c r="J34" s="222">
        <f t="shared" si="39"/>
        <v>463.8620099892214</v>
      </c>
      <c r="K34" s="222">
        <f t="shared" si="39"/>
        <v>498.50420480658795</v>
      </c>
      <c r="L34" s="222">
        <f t="shared" si="39"/>
        <v>533.2152201515793</v>
      </c>
      <c r="M34" s="222">
        <f t="shared" si="39"/>
        <v>567.9951590230559</v>
      </c>
      <c r="N34" s="222">
        <f t="shared" si="39"/>
        <v>602.8441245570554</v>
      </c>
      <c r="O34" s="222">
        <f t="shared" si="39"/>
        <v>637.7622200269637</v>
      </c>
      <c r="P34" s="222">
        <f t="shared" si="39"/>
        <v>672.7495488436872</v>
      </c>
      <c r="Q34" s="226"/>
      <c r="R34" s="218"/>
    </row>
    <row r="35" spans="1:18" ht="15">
      <c r="A35" s="220" t="s">
        <v>64</v>
      </c>
      <c r="B35" s="225" t="s">
        <v>65</v>
      </c>
      <c r="C35" s="225" t="s">
        <v>70</v>
      </c>
      <c r="D35" s="221"/>
      <c r="E35" s="222">
        <f>E26*454*0.3</f>
        <v>12.250549434375</v>
      </c>
      <c r="F35" s="222">
        <f aca="true" t="shared" si="40" ref="F35:P35">F26*454*0.3</f>
        <v>13.6911339940375</v>
      </c>
      <c r="G35" s="222">
        <f t="shared" si="40"/>
        <v>15.13458747226989</v>
      </c>
      <c r="H35" s="222">
        <f t="shared" si="40"/>
        <v>16.580914166324753</v>
      </c>
      <c r="I35" s="222">
        <f t="shared" si="40"/>
        <v>18.03011837918025</v>
      </c>
      <c r="J35" s="222">
        <f t="shared" si="40"/>
        <v>19.482204419547294</v>
      </c>
      <c r="K35" s="222">
        <f t="shared" si="40"/>
        <v>20.937176601876693</v>
      </c>
      <c r="L35" s="222">
        <f t="shared" si="40"/>
        <v>22.395039246366327</v>
      </c>
      <c r="M35" s="222">
        <f t="shared" si="40"/>
        <v>23.855796678968343</v>
      </c>
      <c r="N35" s="222">
        <f t="shared" si="40"/>
        <v>25.31945323139632</v>
      </c>
      <c r="O35" s="222">
        <f t="shared" si="40"/>
        <v>26.786013241132473</v>
      </c>
      <c r="P35" s="222">
        <f t="shared" si="40"/>
        <v>28.255481051434863</v>
      </c>
      <c r="Q35" s="226"/>
      <c r="R35" s="218"/>
    </row>
    <row r="36" spans="1:18" ht="15">
      <c r="A36" s="227" t="s">
        <v>66</v>
      </c>
      <c r="B36" s="225" t="s">
        <v>65</v>
      </c>
      <c r="C36" s="225" t="s">
        <v>71</v>
      </c>
      <c r="D36" s="221"/>
      <c r="E36" s="222">
        <f>E26*454*0.4</f>
        <v>16.3340659125</v>
      </c>
      <c r="F36" s="222">
        <f aca="true" t="shared" si="41" ref="F36:P36">F26*454*0.4</f>
        <v>18.254845325383336</v>
      </c>
      <c r="G36" s="222">
        <f t="shared" si="41"/>
        <v>20.179449963026524</v>
      </c>
      <c r="H36" s="222">
        <f t="shared" si="41"/>
        <v>22.10788555509967</v>
      </c>
      <c r="I36" s="222">
        <f t="shared" si="41"/>
        <v>24.040157838907007</v>
      </c>
      <c r="J36" s="222">
        <f t="shared" si="41"/>
        <v>25.976272559396392</v>
      </c>
      <c r="K36" s="222">
        <f t="shared" si="41"/>
        <v>27.916235469168925</v>
      </c>
      <c r="L36" s="222">
        <f t="shared" si="41"/>
        <v>29.86005232848844</v>
      </c>
      <c r="M36" s="222">
        <f t="shared" si="41"/>
        <v>31.807728905291125</v>
      </c>
      <c r="N36" s="222">
        <f t="shared" si="41"/>
        <v>33.7592709751951</v>
      </c>
      <c r="O36" s="222">
        <f t="shared" si="41"/>
        <v>35.714684321509964</v>
      </c>
      <c r="P36" s="222">
        <f t="shared" si="41"/>
        <v>37.67397473524649</v>
      </c>
      <c r="Q36" s="228"/>
      <c r="R36" s="218"/>
    </row>
    <row r="37" spans="1:18" ht="15">
      <c r="A37" s="220" t="s">
        <v>112</v>
      </c>
      <c r="B37" s="225" t="s">
        <v>65</v>
      </c>
      <c r="C37" s="225" t="s">
        <v>113</v>
      </c>
      <c r="D37" s="221"/>
      <c r="E37" s="223">
        <f>E27</f>
        <v>328.94280000000003</v>
      </c>
      <c r="F37" s="223">
        <f aca="true" t="shared" si="42" ref="F37:P37">F27</f>
        <v>367.62432373333337</v>
      </c>
      <c r="G37" s="223">
        <f t="shared" si="42"/>
        <v>406.38288157133337</v>
      </c>
      <c r="H37" s="223">
        <f t="shared" si="42"/>
        <v>445.21858890068563</v>
      </c>
      <c r="I37" s="223">
        <f t="shared" si="42"/>
        <v>484.131561261815</v>
      </c>
      <c r="J37" s="223">
        <f t="shared" si="42"/>
        <v>523.1219143490779</v>
      </c>
      <c r="K37" s="223">
        <f t="shared" si="42"/>
        <v>562.1897640109538</v>
      </c>
      <c r="L37" s="223">
        <f t="shared" si="42"/>
        <v>601.3352262502392</v>
      </c>
      <c r="M37" s="223">
        <f t="shared" si="42"/>
        <v>640.5584172242392</v>
      </c>
      <c r="N37" s="223">
        <f t="shared" si="42"/>
        <v>679.8594532449611</v>
      </c>
      <c r="O37" s="223">
        <f t="shared" si="42"/>
        <v>719.2384507793071</v>
      </c>
      <c r="P37" s="223">
        <f t="shared" si="42"/>
        <v>758.6955264492684</v>
      </c>
      <c r="Q37" s="226"/>
      <c r="R37" s="218"/>
    </row>
    <row r="38" spans="1:18" ht="15">
      <c r="A38" s="220"/>
      <c r="B38" s="225"/>
      <c r="C38" s="225"/>
      <c r="D38" s="221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6"/>
      <c r="R38" s="218"/>
    </row>
    <row r="39" spans="1:18" ht="14.25">
      <c r="A39" s="254" t="s">
        <v>140</v>
      </c>
      <c r="B39" s="221"/>
      <c r="C39" s="221"/>
      <c r="D39" s="221"/>
      <c r="E39" s="215" t="s">
        <v>0</v>
      </c>
      <c r="F39" s="215" t="s">
        <v>1</v>
      </c>
      <c r="G39" s="215" t="s">
        <v>2</v>
      </c>
      <c r="H39" s="215" t="s">
        <v>3</v>
      </c>
      <c r="I39" s="215" t="s">
        <v>4</v>
      </c>
      <c r="J39" s="215" t="s">
        <v>5</v>
      </c>
      <c r="K39" s="215" t="s">
        <v>6</v>
      </c>
      <c r="L39" s="215" t="s">
        <v>7</v>
      </c>
      <c r="M39" s="215" t="s">
        <v>8</v>
      </c>
      <c r="N39" s="215" t="s">
        <v>9</v>
      </c>
      <c r="O39" s="215" t="s">
        <v>10</v>
      </c>
      <c r="P39" s="215" t="s">
        <v>11</v>
      </c>
      <c r="Q39" s="215"/>
      <c r="R39" s="215" t="s">
        <v>12</v>
      </c>
    </row>
    <row r="40" spans="1:18" ht="15">
      <c r="A40" s="220" t="s">
        <v>45</v>
      </c>
      <c r="B40" s="225" t="s">
        <v>29</v>
      </c>
      <c r="C40" s="229">
        <v>12</v>
      </c>
      <c r="D40" s="230"/>
      <c r="E40" s="243">
        <f aca="true" t="shared" si="43" ref="E40:E47">SUM(E30*C40)</f>
        <v>52502.35471874999</v>
      </c>
      <c r="F40" s="243">
        <f>SUM(F30*C40)</f>
        <v>58676.288545874995</v>
      </c>
      <c r="G40" s="243">
        <f>SUM(G30*C40)</f>
        <v>64862.51773829953</v>
      </c>
      <c r="H40" s="243">
        <f>SUM(H30*C40)</f>
        <v>71061.06071282037</v>
      </c>
      <c r="I40" s="243">
        <f>SUM(I30*C40)</f>
        <v>77271.9359107725</v>
      </c>
      <c r="J40" s="243">
        <f>SUM(J30*C40)</f>
        <v>83495.16179805984</v>
      </c>
      <c r="K40" s="243">
        <f>SUM(K30*C40)</f>
        <v>89730.75686518582</v>
      </c>
      <c r="L40" s="243">
        <f>SUM(L30*C40)</f>
        <v>95978.73962728427</v>
      </c>
      <c r="M40" s="243">
        <f>SUM(M30*C40)</f>
        <v>102239.12862415003</v>
      </c>
      <c r="N40" s="243">
        <f>SUM(N30*C40)</f>
        <v>108511.94242026994</v>
      </c>
      <c r="O40" s="243">
        <f>SUM(O30*C40)</f>
        <v>114797.19960485346</v>
      </c>
      <c r="P40" s="243">
        <f>SUM(P30*C40)</f>
        <v>121094.91879186367</v>
      </c>
      <c r="Q40" s="244"/>
      <c r="R40" s="245">
        <f>SUM(E40:Q40)</f>
        <v>1040222.0053581843</v>
      </c>
    </row>
    <row r="41" spans="1:18" ht="15">
      <c r="A41" s="220" t="s">
        <v>238</v>
      </c>
      <c r="B41" s="225" t="s">
        <v>72</v>
      </c>
      <c r="C41" s="229">
        <v>80</v>
      </c>
      <c r="D41" s="230"/>
      <c r="E41" s="243">
        <f t="shared" si="43"/>
        <v>17500.78490625</v>
      </c>
      <c r="F41" s="243">
        <f aca="true" t="shared" si="44" ref="F41:F47">SUM(F31*C41)</f>
        <v>19558.762848625003</v>
      </c>
      <c r="G41" s="243">
        <f aca="true" t="shared" si="45" ref="G41:G47">SUM(G31*C41)</f>
        <v>21620.839246099844</v>
      </c>
      <c r="H41" s="243">
        <f aca="true" t="shared" si="46" ref="H41:H47">SUM(H31*C41)</f>
        <v>23687.02023760679</v>
      </c>
      <c r="I41" s="243">
        <f aca="true" t="shared" si="47" ref="I41:I47">SUM(I31*C41)</f>
        <v>25757.311970257502</v>
      </c>
      <c r="J41" s="243">
        <f aca="true" t="shared" si="48" ref="J41:J47">SUM(J31*C41)</f>
        <v>27831.72059935328</v>
      </c>
      <c r="K41" s="243">
        <f aca="true" t="shared" si="49" ref="K41:K47">SUM(K31*C41)</f>
        <v>29910.252288395277</v>
      </c>
      <c r="L41" s="243">
        <f aca="true" t="shared" si="50" ref="L41:L47">SUM(L31*C41)</f>
        <v>31992.913209094753</v>
      </c>
      <c r="M41" s="243">
        <f aca="true" t="shared" si="51" ref="M41:M47">SUM(M31*C41)</f>
        <v>34079.709541383345</v>
      </c>
      <c r="N41" s="243">
        <f aca="true" t="shared" si="52" ref="N41:N47">SUM(N31*C41)</f>
        <v>36170.64747342331</v>
      </c>
      <c r="O41" s="243">
        <f aca="true" t="shared" si="53" ref="O41:O47">SUM(O31*C41)</f>
        <v>38265.73320161782</v>
      </c>
      <c r="P41" s="243">
        <f aca="true" t="shared" si="54" ref="P41:P47">SUM(P31*C41)</f>
        <v>40364.97293062123</v>
      </c>
      <c r="Q41" s="244"/>
      <c r="R41" s="245">
        <f aca="true" t="shared" si="55" ref="R41:R47">SUM(E41:Q41)</f>
        <v>346740.6684527282</v>
      </c>
    </row>
    <row r="42" spans="1:18" ht="15">
      <c r="A42" s="220" t="s">
        <v>110</v>
      </c>
      <c r="B42" s="225" t="s">
        <v>114</v>
      </c>
      <c r="C42" s="229">
        <v>70</v>
      </c>
      <c r="D42" s="230"/>
      <c r="E42" s="243">
        <f t="shared" si="43"/>
        <v>8167.03295625</v>
      </c>
      <c r="F42" s="243">
        <f t="shared" si="44"/>
        <v>9127.422662691668</v>
      </c>
      <c r="G42" s="243">
        <f t="shared" si="45"/>
        <v>10089.72498151326</v>
      </c>
      <c r="H42" s="243">
        <f t="shared" si="46"/>
        <v>11053.942777549835</v>
      </c>
      <c r="I42" s="243">
        <f t="shared" si="47"/>
        <v>12020.0789194535</v>
      </c>
      <c r="J42" s="243">
        <f t="shared" si="48"/>
        <v>12988.136279698198</v>
      </c>
      <c r="K42" s="243">
        <f t="shared" si="49"/>
        <v>13958.117734584463</v>
      </c>
      <c r="L42" s="243">
        <f t="shared" si="50"/>
        <v>14930.026164244218</v>
      </c>
      <c r="M42" s="243">
        <f t="shared" si="51"/>
        <v>15903.864452645563</v>
      </c>
      <c r="N42" s="243">
        <f t="shared" si="52"/>
        <v>16879.63548759755</v>
      </c>
      <c r="O42" s="243">
        <f t="shared" si="53"/>
        <v>17857.342160754983</v>
      </c>
      <c r="P42" s="243">
        <f t="shared" si="54"/>
        <v>18836.987367623242</v>
      </c>
      <c r="Q42" s="244"/>
      <c r="R42" s="245">
        <f t="shared" si="55"/>
        <v>161812.31194460648</v>
      </c>
    </row>
    <row r="43" spans="1:19" ht="15">
      <c r="A43" s="220" t="s">
        <v>111</v>
      </c>
      <c r="B43" s="225" t="s">
        <v>115</v>
      </c>
      <c r="C43" s="229">
        <v>65</v>
      </c>
      <c r="D43" s="230"/>
      <c r="E43" s="243">
        <f t="shared" si="43"/>
        <v>18959.183648437498</v>
      </c>
      <c r="F43" s="243">
        <f t="shared" si="44"/>
        <v>21188.659752677086</v>
      </c>
      <c r="G43" s="243">
        <f t="shared" si="45"/>
        <v>23422.5758499415</v>
      </c>
      <c r="H43" s="243">
        <f t="shared" si="46"/>
        <v>25660.93859074069</v>
      </c>
      <c r="I43" s="243">
        <f t="shared" si="47"/>
        <v>27903.754634445628</v>
      </c>
      <c r="J43" s="243">
        <f t="shared" si="48"/>
        <v>30151.030649299388</v>
      </c>
      <c r="K43" s="243">
        <f t="shared" si="49"/>
        <v>32402.773312428217</v>
      </c>
      <c r="L43" s="243">
        <f t="shared" si="50"/>
        <v>34658.98930985265</v>
      </c>
      <c r="M43" s="243">
        <f t="shared" si="51"/>
        <v>36919.685336498624</v>
      </c>
      <c r="N43" s="243">
        <f t="shared" si="52"/>
        <v>39184.86809620859</v>
      </c>
      <c r="O43" s="243">
        <f t="shared" si="53"/>
        <v>41454.54430175264</v>
      </c>
      <c r="P43" s="243">
        <f t="shared" si="54"/>
        <v>43728.72067483967</v>
      </c>
      <c r="Q43" s="244"/>
      <c r="R43" s="245">
        <f t="shared" si="55"/>
        <v>375635.7241571222</v>
      </c>
      <c r="S43" s="154">
        <f>SUM(R41:R43)</f>
        <v>884188.7045544569</v>
      </c>
    </row>
    <row r="44" spans="1:18" ht="15">
      <c r="A44" s="227" t="s">
        <v>63</v>
      </c>
      <c r="B44" s="225" t="s">
        <v>116</v>
      </c>
      <c r="C44" s="229">
        <v>5</v>
      </c>
      <c r="D44" s="230"/>
      <c r="E44" s="243">
        <f t="shared" si="43"/>
        <v>1458.3987421875004</v>
      </c>
      <c r="F44" s="243">
        <f t="shared" si="44"/>
        <v>1629.8969040520833</v>
      </c>
      <c r="G44" s="243">
        <f t="shared" si="45"/>
        <v>1801.7366038416537</v>
      </c>
      <c r="H44" s="243">
        <f t="shared" si="46"/>
        <v>1973.9183531338992</v>
      </c>
      <c r="I44" s="243">
        <f t="shared" si="47"/>
        <v>2146.442664188125</v>
      </c>
      <c r="J44" s="243">
        <f t="shared" si="48"/>
        <v>2319.310049946107</v>
      </c>
      <c r="K44" s="243">
        <f t="shared" si="49"/>
        <v>2492.5210240329397</v>
      </c>
      <c r="L44" s="243">
        <f t="shared" si="50"/>
        <v>2666.0761007578963</v>
      </c>
      <c r="M44" s="243">
        <f t="shared" si="51"/>
        <v>2839.975795115279</v>
      </c>
      <c r="N44" s="243">
        <f t="shared" si="52"/>
        <v>3014.2206227852766</v>
      </c>
      <c r="O44" s="243">
        <f t="shared" si="53"/>
        <v>3188.811100134819</v>
      </c>
      <c r="P44" s="243">
        <f t="shared" si="54"/>
        <v>3363.747744218436</v>
      </c>
      <c r="Q44" s="244"/>
      <c r="R44" s="245">
        <f t="shared" si="55"/>
        <v>28895.055704394013</v>
      </c>
    </row>
    <row r="45" spans="1:18" ht="15">
      <c r="A45" s="220" t="s">
        <v>64</v>
      </c>
      <c r="B45" s="225" t="s">
        <v>117</v>
      </c>
      <c r="C45" s="229">
        <v>12</v>
      </c>
      <c r="D45" s="230"/>
      <c r="E45" s="243">
        <f t="shared" si="43"/>
        <v>147.00659321249998</v>
      </c>
      <c r="F45" s="243">
        <f t="shared" si="44"/>
        <v>164.29360792845</v>
      </c>
      <c r="G45" s="243">
        <f t="shared" si="45"/>
        <v>181.61504966723868</v>
      </c>
      <c r="H45" s="243">
        <f t="shared" si="46"/>
        <v>198.97096999589704</v>
      </c>
      <c r="I45" s="243">
        <f t="shared" si="47"/>
        <v>216.36142055016302</v>
      </c>
      <c r="J45" s="243">
        <f t="shared" si="48"/>
        <v>233.78645303456753</v>
      </c>
      <c r="K45" s="243">
        <f t="shared" si="49"/>
        <v>251.24611922252032</v>
      </c>
      <c r="L45" s="243">
        <f t="shared" si="50"/>
        <v>268.74047095639594</v>
      </c>
      <c r="M45" s="243">
        <f t="shared" si="51"/>
        <v>286.2695601476201</v>
      </c>
      <c r="N45" s="243">
        <f t="shared" si="52"/>
        <v>303.8334387767558</v>
      </c>
      <c r="O45" s="243">
        <f t="shared" si="53"/>
        <v>321.43215889358964</v>
      </c>
      <c r="P45" s="243">
        <f t="shared" si="54"/>
        <v>339.0657726172184</v>
      </c>
      <c r="Q45" s="244"/>
      <c r="R45" s="245">
        <f t="shared" si="55"/>
        <v>2912.6216150029163</v>
      </c>
    </row>
    <row r="46" spans="1:18" ht="15">
      <c r="A46" s="227" t="s">
        <v>66</v>
      </c>
      <c r="B46" s="225" t="s">
        <v>118</v>
      </c>
      <c r="C46" s="229">
        <v>12</v>
      </c>
      <c r="D46" s="230"/>
      <c r="E46" s="243">
        <f t="shared" si="43"/>
        <v>196.00879095000002</v>
      </c>
      <c r="F46" s="243">
        <f t="shared" si="44"/>
        <v>219.05814390460003</v>
      </c>
      <c r="G46" s="243">
        <f t="shared" si="45"/>
        <v>242.15339955631828</v>
      </c>
      <c r="H46" s="243">
        <f t="shared" si="46"/>
        <v>265.29462666119605</v>
      </c>
      <c r="I46" s="243">
        <f t="shared" si="47"/>
        <v>288.4818940668841</v>
      </c>
      <c r="J46" s="243">
        <f t="shared" si="48"/>
        <v>311.7152707127567</v>
      </c>
      <c r="K46" s="243">
        <f t="shared" si="49"/>
        <v>334.9948256300271</v>
      </c>
      <c r="L46" s="243">
        <f t="shared" si="50"/>
        <v>358.3206279418613</v>
      </c>
      <c r="M46" s="243">
        <f t="shared" si="51"/>
        <v>381.6927468634935</v>
      </c>
      <c r="N46" s="243">
        <f t="shared" si="52"/>
        <v>405.1112517023412</v>
      </c>
      <c r="O46" s="243">
        <f t="shared" si="53"/>
        <v>428.57621185811956</v>
      </c>
      <c r="P46" s="243">
        <f t="shared" si="54"/>
        <v>452.08769682295787</v>
      </c>
      <c r="Q46" s="244"/>
      <c r="R46" s="245">
        <f t="shared" si="55"/>
        <v>3883.4954866705557</v>
      </c>
    </row>
    <row r="47" spans="1:19" ht="15">
      <c r="A47" s="220" t="s">
        <v>112</v>
      </c>
      <c r="B47" s="225" t="s">
        <v>243</v>
      </c>
      <c r="C47" s="229">
        <v>10</v>
      </c>
      <c r="D47" s="221"/>
      <c r="E47" s="243">
        <f t="shared" si="43"/>
        <v>3289.4280000000003</v>
      </c>
      <c r="F47" s="243">
        <f t="shared" si="44"/>
        <v>3676.2432373333336</v>
      </c>
      <c r="G47" s="243">
        <f t="shared" si="45"/>
        <v>4063.828815713334</v>
      </c>
      <c r="H47" s="243">
        <f t="shared" si="46"/>
        <v>4452.185889006856</v>
      </c>
      <c r="I47" s="243">
        <f t="shared" si="47"/>
        <v>4841.31561261815</v>
      </c>
      <c r="J47" s="243">
        <f t="shared" si="48"/>
        <v>5231.219143490779</v>
      </c>
      <c r="K47" s="243">
        <f t="shared" si="49"/>
        <v>5621.897640109538</v>
      </c>
      <c r="L47" s="243">
        <f t="shared" si="50"/>
        <v>6013.3522625023925</v>
      </c>
      <c r="M47" s="243">
        <f t="shared" si="51"/>
        <v>6405.584172242392</v>
      </c>
      <c r="N47" s="243">
        <f t="shared" si="52"/>
        <v>6798.594532449611</v>
      </c>
      <c r="O47" s="243">
        <f t="shared" si="53"/>
        <v>7192.384507793071</v>
      </c>
      <c r="P47" s="243">
        <f t="shared" si="54"/>
        <v>7586.955264492684</v>
      </c>
      <c r="Q47" s="244"/>
      <c r="R47" s="245">
        <f t="shared" si="55"/>
        <v>65172.98907775215</v>
      </c>
      <c r="S47" s="154">
        <f>SUM(R44:R47)</f>
        <v>100864.16188381964</v>
      </c>
    </row>
    <row r="48" spans="1:18" ht="15">
      <c r="A48" s="220"/>
      <c r="B48" s="225"/>
      <c r="C48" s="225"/>
      <c r="D48" s="221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4"/>
      <c r="R48" s="245"/>
    </row>
    <row r="49" spans="1:18" ht="14.25">
      <c r="A49" s="347" t="s">
        <v>205</v>
      </c>
      <c r="B49" s="347"/>
      <c r="C49" s="347"/>
      <c r="D49" s="231"/>
      <c r="E49" s="247">
        <f aca="true" t="shared" si="56" ref="E49:P49">SUM(E40:E47)</f>
        <v>102220.1983560375</v>
      </c>
      <c r="F49" s="247">
        <f t="shared" si="56"/>
        <v>114240.62570308722</v>
      </c>
      <c r="G49" s="247">
        <f t="shared" si="56"/>
        <v>126284.99168463267</v>
      </c>
      <c r="H49" s="247">
        <f t="shared" si="56"/>
        <v>138353.3321575155</v>
      </c>
      <c r="I49" s="247">
        <f t="shared" si="56"/>
        <v>150445.68302635243</v>
      </c>
      <c r="J49" s="247">
        <f t="shared" si="56"/>
        <v>162562.08024359492</v>
      </c>
      <c r="K49" s="247">
        <f t="shared" si="56"/>
        <v>174702.55980958877</v>
      </c>
      <c r="L49" s="247">
        <f t="shared" si="56"/>
        <v>186867.15777263444</v>
      </c>
      <c r="M49" s="247">
        <f t="shared" si="56"/>
        <v>199055.91022904636</v>
      </c>
      <c r="N49" s="247">
        <f t="shared" si="56"/>
        <v>211268.85332321335</v>
      </c>
      <c r="O49" s="247">
        <f t="shared" si="56"/>
        <v>223506.0232476585</v>
      </c>
      <c r="P49" s="247">
        <f t="shared" si="56"/>
        <v>235767.45624309915</v>
      </c>
      <c r="Q49" s="248"/>
      <c r="R49" s="247">
        <f>SUM(R40:R47)</f>
        <v>2025274.871796461</v>
      </c>
    </row>
    <row r="50" spans="1:18" ht="15">
      <c r="A50" s="232"/>
      <c r="B50" s="232"/>
      <c r="C50" s="232"/>
      <c r="D50" s="233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1:18" ht="14.25">
      <c r="A51" s="254" t="s">
        <v>120</v>
      </c>
      <c r="B51" s="221"/>
      <c r="C51" s="221"/>
      <c r="D51" s="221"/>
      <c r="E51" s="215" t="s">
        <v>0</v>
      </c>
      <c r="F51" s="215" t="s">
        <v>1</v>
      </c>
      <c r="G51" s="215" t="s">
        <v>2</v>
      </c>
      <c r="H51" s="215" t="s">
        <v>3</v>
      </c>
      <c r="I51" s="215" t="s">
        <v>4</v>
      </c>
      <c r="J51" s="215" t="s">
        <v>5</v>
      </c>
      <c r="K51" s="215" t="s">
        <v>6</v>
      </c>
      <c r="L51" s="215" t="s">
        <v>7</v>
      </c>
      <c r="M51" s="215" t="s">
        <v>8</v>
      </c>
      <c r="N51" s="215" t="s">
        <v>9</v>
      </c>
      <c r="O51" s="215" t="s">
        <v>10</v>
      </c>
      <c r="P51" s="215" t="s">
        <v>11</v>
      </c>
      <c r="Q51" s="215"/>
      <c r="R51" s="215" t="s">
        <v>12</v>
      </c>
    </row>
    <row r="52" spans="1:18" ht="15">
      <c r="A52" s="220" t="s">
        <v>45</v>
      </c>
      <c r="B52" s="225" t="s">
        <v>109</v>
      </c>
      <c r="C52" s="229">
        <v>4.5</v>
      </c>
      <c r="D52" s="221"/>
      <c r="E52" s="246">
        <f aca="true" t="shared" si="57" ref="E52:E59">SUM(E30*C52)</f>
        <v>19688.383019531248</v>
      </c>
      <c r="F52" s="246">
        <f aca="true" t="shared" si="58" ref="F52:F59">SUM(F30*C52)</f>
        <v>22003.608204703123</v>
      </c>
      <c r="G52" s="246">
        <f aca="true" t="shared" si="59" ref="G52:G59">SUM(G30*C52)</f>
        <v>24323.444151862324</v>
      </c>
      <c r="H52" s="246">
        <f aca="true" t="shared" si="60" ref="H52:H59">SUM(H30*C52)</f>
        <v>26647.897767307637</v>
      </c>
      <c r="I52" s="246">
        <f aca="true" t="shared" si="61" ref="I52:I59">SUM(I30*C52)</f>
        <v>28976.97596653969</v>
      </c>
      <c r="J52" s="246">
        <f aca="true" t="shared" si="62" ref="J52:J59">SUM(J30*C52)</f>
        <v>31310.68567427244</v>
      </c>
      <c r="K52" s="246">
        <f aca="true" t="shared" si="63" ref="K52:K59">SUM(K30*C52)</f>
        <v>33649.03382444468</v>
      </c>
      <c r="L52" s="246">
        <f aca="true" t="shared" si="64" ref="L52:L59">SUM(L30*C52)</f>
        <v>35992.0273602316</v>
      </c>
      <c r="M52" s="246">
        <f aca="true" t="shared" si="65" ref="M52:M59">SUM(M30*C52)</f>
        <v>38339.67323405626</v>
      </c>
      <c r="N52" s="246">
        <f aca="true" t="shared" si="66" ref="N52:N59">SUM(N30*C52)</f>
        <v>40691.97840760123</v>
      </c>
      <c r="O52" s="246">
        <f aca="true" t="shared" si="67" ref="O52:O59">SUM(O30*C52)</f>
        <v>43048.94985182005</v>
      </c>
      <c r="P52" s="246">
        <f aca="true" t="shared" si="68" ref="P52:P59">SUM(P30*C52)</f>
        <v>45410.59454694888</v>
      </c>
      <c r="Q52" s="244"/>
      <c r="R52" s="245">
        <f aca="true" t="shared" si="69" ref="R52:R59">SUM(E52:Q52)</f>
        <v>390083.25200931926</v>
      </c>
    </row>
    <row r="53" spans="1:18" ht="15">
      <c r="A53" s="220" t="s">
        <v>238</v>
      </c>
      <c r="B53" s="225" t="s">
        <v>109</v>
      </c>
      <c r="C53" s="229">
        <v>35</v>
      </c>
      <c r="D53" s="221"/>
      <c r="E53" s="246">
        <f t="shared" si="57"/>
        <v>7656.593396484374</v>
      </c>
      <c r="F53" s="246">
        <f t="shared" si="58"/>
        <v>8556.958746273438</v>
      </c>
      <c r="G53" s="246">
        <f t="shared" si="59"/>
        <v>9459.117170168682</v>
      </c>
      <c r="H53" s="246">
        <f t="shared" si="60"/>
        <v>10363.07135395297</v>
      </c>
      <c r="I53" s="246">
        <f t="shared" si="61"/>
        <v>11268.823986987656</v>
      </c>
      <c r="J53" s="246">
        <f t="shared" si="62"/>
        <v>12176.37776221706</v>
      </c>
      <c r="K53" s="246">
        <f t="shared" si="63"/>
        <v>13085.735376172934</v>
      </c>
      <c r="L53" s="246">
        <f t="shared" si="64"/>
        <v>13996.899528978955</v>
      </c>
      <c r="M53" s="246">
        <f t="shared" si="65"/>
        <v>14909.872924355213</v>
      </c>
      <c r="N53" s="246">
        <f t="shared" si="66"/>
        <v>15824.6582696227</v>
      </c>
      <c r="O53" s="246">
        <f t="shared" si="67"/>
        <v>16741.258275707794</v>
      </c>
      <c r="P53" s="246">
        <f t="shared" si="68"/>
        <v>17659.67565714679</v>
      </c>
      <c r="Q53" s="244"/>
      <c r="R53" s="245">
        <f t="shared" si="69"/>
        <v>151699.04244806856</v>
      </c>
    </row>
    <row r="54" spans="1:18" ht="15">
      <c r="A54" s="220" t="s">
        <v>110</v>
      </c>
      <c r="B54" s="225" t="s">
        <v>109</v>
      </c>
      <c r="C54" s="229">
        <v>30</v>
      </c>
      <c r="D54" s="221"/>
      <c r="E54" s="246">
        <f t="shared" si="57"/>
        <v>3500.1569812499997</v>
      </c>
      <c r="F54" s="246">
        <f t="shared" si="58"/>
        <v>3911.7525697250003</v>
      </c>
      <c r="G54" s="246">
        <f t="shared" si="59"/>
        <v>4324.167849219969</v>
      </c>
      <c r="H54" s="246">
        <f t="shared" si="60"/>
        <v>4737.404047521358</v>
      </c>
      <c r="I54" s="246">
        <f t="shared" si="61"/>
        <v>5151.4623940515</v>
      </c>
      <c r="J54" s="246">
        <f t="shared" si="62"/>
        <v>5566.344119870656</v>
      </c>
      <c r="K54" s="246">
        <f t="shared" si="63"/>
        <v>5982.050457679055</v>
      </c>
      <c r="L54" s="246">
        <f t="shared" si="64"/>
        <v>6398.582641818951</v>
      </c>
      <c r="M54" s="246">
        <f t="shared" si="65"/>
        <v>6815.94190827667</v>
      </c>
      <c r="N54" s="246">
        <f t="shared" si="66"/>
        <v>7234.129494684664</v>
      </c>
      <c r="O54" s="246">
        <f t="shared" si="67"/>
        <v>7653.1466403235645</v>
      </c>
      <c r="P54" s="246">
        <f t="shared" si="68"/>
        <v>8072.994586124247</v>
      </c>
      <c r="Q54" s="244"/>
      <c r="R54" s="245">
        <f t="shared" si="69"/>
        <v>69348.13369054564</v>
      </c>
    </row>
    <row r="55" spans="1:19" ht="15">
      <c r="A55" s="220" t="s">
        <v>111</v>
      </c>
      <c r="B55" s="225" t="s">
        <v>109</v>
      </c>
      <c r="C55" s="229">
        <v>25</v>
      </c>
      <c r="D55" s="221"/>
      <c r="E55" s="246">
        <f t="shared" si="57"/>
        <v>7291.9937109375</v>
      </c>
      <c r="F55" s="246">
        <f t="shared" si="58"/>
        <v>8149.484520260418</v>
      </c>
      <c r="G55" s="246">
        <f t="shared" si="59"/>
        <v>9008.683019208269</v>
      </c>
      <c r="H55" s="246">
        <f t="shared" si="60"/>
        <v>9869.591765669496</v>
      </c>
      <c r="I55" s="246">
        <f t="shared" si="61"/>
        <v>10732.213320940626</v>
      </c>
      <c r="J55" s="246">
        <f t="shared" si="62"/>
        <v>11596.550249730533</v>
      </c>
      <c r="K55" s="246">
        <f t="shared" si="63"/>
        <v>12462.605120164699</v>
      </c>
      <c r="L55" s="246">
        <f t="shared" si="64"/>
        <v>13330.380503789482</v>
      </c>
      <c r="M55" s="246">
        <f t="shared" si="65"/>
        <v>14199.878975576394</v>
      </c>
      <c r="N55" s="246">
        <f t="shared" si="66"/>
        <v>15071.103113926381</v>
      </c>
      <c r="O55" s="246">
        <f t="shared" si="67"/>
        <v>15944.055500674094</v>
      </c>
      <c r="P55" s="246">
        <f t="shared" si="68"/>
        <v>16818.73872109218</v>
      </c>
      <c r="Q55" s="244"/>
      <c r="R55" s="245">
        <f t="shared" si="69"/>
        <v>144475.27852197006</v>
      </c>
      <c r="S55" s="154">
        <f>SUM(R53:R55)</f>
        <v>365522.4546605842</v>
      </c>
    </row>
    <row r="56" spans="1:18" ht="15">
      <c r="A56" s="227" t="s">
        <v>63</v>
      </c>
      <c r="B56" s="225" t="s">
        <v>65</v>
      </c>
      <c r="C56" s="229">
        <v>2.5</v>
      </c>
      <c r="D56" s="221"/>
      <c r="E56" s="246">
        <f t="shared" si="57"/>
        <v>729.1993710937502</v>
      </c>
      <c r="F56" s="246">
        <f t="shared" si="58"/>
        <v>814.9484520260417</v>
      </c>
      <c r="G56" s="246">
        <f t="shared" si="59"/>
        <v>900.8683019208269</v>
      </c>
      <c r="H56" s="246">
        <f t="shared" si="60"/>
        <v>986.9591765669496</v>
      </c>
      <c r="I56" s="246">
        <f t="shared" si="61"/>
        <v>1073.2213320940625</v>
      </c>
      <c r="J56" s="246">
        <f t="shared" si="62"/>
        <v>1159.6550249730535</v>
      </c>
      <c r="K56" s="246">
        <f t="shared" si="63"/>
        <v>1246.2605120164699</v>
      </c>
      <c r="L56" s="246">
        <f t="shared" si="64"/>
        <v>1333.0380503789481</v>
      </c>
      <c r="M56" s="246">
        <f t="shared" si="65"/>
        <v>1419.9878975576396</v>
      </c>
      <c r="N56" s="246">
        <f t="shared" si="66"/>
        <v>1507.1103113926383</v>
      </c>
      <c r="O56" s="246">
        <f t="shared" si="67"/>
        <v>1594.4055500674094</v>
      </c>
      <c r="P56" s="246">
        <f t="shared" si="68"/>
        <v>1681.873872109218</v>
      </c>
      <c r="Q56" s="244"/>
      <c r="R56" s="245">
        <f t="shared" si="69"/>
        <v>14447.527852197007</v>
      </c>
    </row>
    <row r="57" spans="1:18" ht="15">
      <c r="A57" s="220" t="s">
        <v>64</v>
      </c>
      <c r="B57" s="225" t="s">
        <v>65</v>
      </c>
      <c r="C57" s="229">
        <v>6</v>
      </c>
      <c r="D57" s="221"/>
      <c r="E57" s="246">
        <f t="shared" si="57"/>
        <v>73.50329660624999</v>
      </c>
      <c r="F57" s="246">
        <f t="shared" si="58"/>
        <v>82.146803964225</v>
      </c>
      <c r="G57" s="246">
        <f t="shared" si="59"/>
        <v>90.80752483361934</v>
      </c>
      <c r="H57" s="246">
        <f t="shared" si="60"/>
        <v>99.48548499794852</v>
      </c>
      <c r="I57" s="246">
        <f t="shared" si="61"/>
        <v>108.18071027508151</v>
      </c>
      <c r="J57" s="246">
        <f t="shared" si="62"/>
        <v>116.89322651728376</v>
      </c>
      <c r="K57" s="246">
        <f t="shared" si="63"/>
        <v>125.62305961126016</v>
      </c>
      <c r="L57" s="246">
        <f t="shared" si="64"/>
        <v>134.37023547819797</v>
      </c>
      <c r="M57" s="246">
        <f t="shared" si="65"/>
        <v>143.13478007381005</v>
      </c>
      <c r="N57" s="246">
        <f t="shared" si="66"/>
        <v>151.9167193883779</v>
      </c>
      <c r="O57" s="246">
        <f t="shared" si="67"/>
        <v>160.71607944679482</v>
      </c>
      <c r="P57" s="246">
        <f t="shared" si="68"/>
        <v>169.5328863086092</v>
      </c>
      <c r="Q57" s="244"/>
      <c r="R57" s="245">
        <f t="shared" si="69"/>
        <v>1456.3108075014582</v>
      </c>
    </row>
    <row r="58" spans="1:18" ht="15">
      <c r="A58" s="227" t="s">
        <v>66</v>
      </c>
      <c r="B58" s="225" t="s">
        <v>65</v>
      </c>
      <c r="C58" s="229">
        <v>5</v>
      </c>
      <c r="D58" s="221"/>
      <c r="E58" s="246">
        <f t="shared" si="57"/>
        <v>81.6703295625</v>
      </c>
      <c r="F58" s="246">
        <f t="shared" si="58"/>
        <v>91.27422662691669</v>
      </c>
      <c r="G58" s="246">
        <f t="shared" si="59"/>
        <v>100.89724981513262</v>
      </c>
      <c r="H58" s="246">
        <f t="shared" si="60"/>
        <v>110.53942777549835</v>
      </c>
      <c r="I58" s="246">
        <f t="shared" si="61"/>
        <v>120.20078919453503</v>
      </c>
      <c r="J58" s="246">
        <f t="shared" si="62"/>
        <v>129.88136279698196</v>
      </c>
      <c r="K58" s="246">
        <f t="shared" si="63"/>
        <v>139.58117734584462</v>
      </c>
      <c r="L58" s="246">
        <f t="shared" si="64"/>
        <v>149.3002616424422</v>
      </c>
      <c r="M58" s="246">
        <f t="shared" si="65"/>
        <v>159.0386445264556</v>
      </c>
      <c r="N58" s="246">
        <f t="shared" si="66"/>
        <v>168.7963548759755</v>
      </c>
      <c r="O58" s="246">
        <f t="shared" si="67"/>
        <v>178.57342160754982</v>
      </c>
      <c r="P58" s="246">
        <f t="shared" si="68"/>
        <v>188.36987367623243</v>
      </c>
      <c r="Q58" s="244"/>
      <c r="R58" s="245">
        <f t="shared" si="69"/>
        <v>1618.1231194460647</v>
      </c>
    </row>
    <row r="59" spans="1:19" ht="15">
      <c r="A59" s="220" t="s">
        <v>112</v>
      </c>
      <c r="B59" s="225" t="s">
        <v>65</v>
      </c>
      <c r="C59" s="229">
        <v>2.5</v>
      </c>
      <c r="D59" s="221"/>
      <c r="E59" s="246">
        <f t="shared" si="57"/>
        <v>822.3570000000001</v>
      </c>
      <c r="F59" s="246">
        <f t="shared" si="58"/>
        <v>919.0608093333334</v>
      </c>
      <c r="G59" s="246">
        <f t="shared" si="59"/>
        <v>1015.9572039283335</v>
      </c>
      <c r="H59" s="246">
        <f t="shared" si="60"/>
        <v>1113.046472251714</v>
      </c>
      <c r="I59" s="246">
        <f t="shared" si="61"/>
        <v>1210.3289031545376</v>
      </c>
      <c r="J59" s="246">
        <f t="shared" si="62"/>
        <v>1307.8047858726948</v>
      </c>
      <c r="K59" s="246">
        <f t="shared" si="63"/>
        <v>1405.4744100273845</v>
      </c>
      <c r="L59" s="246">
        <f t="shared" si="64"/>
        <v>1503.3380656255981</v>
      </c>
      <c r="M59" s="246">
        <f t="shared" si="65"/>
        <v>1601.396043060598</v>
      </c>
      <c r="N59" s="246">
        <f t="shared" si="66"/>
        <v>1699.6486331124026</v>
      </c>
      <c r="O59" s="246">
        <f t="shared" si="67"/>
        <v>1798.0961269482677</v>
      </c>
      <c r="P59" s="246">
        <f t="shared" si="68"/>
        <v>1896.738816123171</v>
      </c>
      <c r="Q59" s="244"/>
      <c r="R59" s="245">
        <f t="shared" si="69"/>
        <v>16293.247269438038</v>
      </c>
      <c r="S59" s="154">
        <f>SUM(R56:R59)</f>
        <v>33815.20904858257</v>
      </c>
    </row>
    <row r="60" spans="1:18" ht="15">
      <c r="A60" s="220"/>
      <c r="B60" s="225"/>
      <c r="C60" s="229"/>
      <c r="D60" s="221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4"/>
      <c r="R60" s="245"/>
    </row>
    <row r="61" spans="1:18" ht="14.25">
      <c r="A61" s="348" t="s">
        <v>87</v>
      </c>
      <c r="B61" s="348"/>
      <c r="C61" s="348"/>
      <c r="D61" s="231"/>
      <c r="E61" s="249">
        <f aca="true" t="shared" si="70" ref="E61:P61">SUM(E52:E59)</f>
        <v>39843.85710546563</v>
      </c>
      <c r="F61" s="249">
        <f t="shared" si="70"/>
        <v>44529.23433291251</v>
      </c>
      <c r="G61" s="249">
        <f t="shared" si="70"/>
        <v>49223.942470957154</v>
      </c>
      <c r="H61" s="249">
        <f t="shared" si="70"/>
        <v>53927.99549604356</v>
      </c>
      <c r="I61" s="249">
        <f t="shared" si="70"/>
        <v>58641.40740323768</v>
      </c>
      <c r="J61" s="249">
        <f t="shared" si="70"/>
        <v>63364.1922062507</v>
      </c>
      <c r="K61" s="249">
        <f t="shared" si="70"/>
        <v>68096.36393746232</v>
      </c>
      <c r="L61" s="249">
        <f t="shared" si="70"/>
        <v>72837.9366479442</v>
      </c>
      <c r="M61" s="249">
        <f t="shared" si="70"/>
        <v>77588.92440748305</v>
      </c>
      <c r="N61" s="249">
        <f t="shared" si="70"/>
        <v>82349.34130460436</v>
      </c>
      <c r="O61" s="249">
        <f t="shared" si="70"/>
        <v>87119.20144659553</v>
      </c>
      <c r="P61" s="249">
        <f t="shared" si="70"/>
        <v>91898.51895952932</v>
      </c>
      <c r="Q61" s="244"/>
      <c r="R61" s="249">
        <f>SUM(E61:Q61)</f>
        <v>789420.915718486</v>
      </c>
    </row>
    <row r="62" spans="1:18" ht="15">
      <c r="A62" s="235"/>
      <c r="B62" s="236"/>
      <c r="C62" s="237"/>
      <c r="D62" s="233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1"/>
      <c r="R62" s="252"/>
    </row>
    <row r="63" spans="1:18" ht="14.25">
      <c r="A63" s="345" t="s">
        <v>88</v>
      </c>
      <c r="B63" s="345"/>
      <c r="C63" s="345"/>
      <c r="D63" s="231"/>
      <c r="E63" s="253">
        <f>E49-E61</f>
        <v>62376.341250571866</v>
      </c>
      <c r="F63" s="253">
        <f aca="true" t="shared" si="71" ref="F63:O63">F49-F61</f>
        <v>69711.39137017471</v>
      </c>
      <c r="G63" s="253">
        <f t="shared" si="71"/>
        <v>77061.04921367552</v>
      </c>
      <c r="H63" s="253">
        <f t="shared" si="71"/>
        <v>84425.33666147196</v>
      </c>
      <c r="I63" s="253">
        <f t="shared" si="71"/>
        <v>91804.27562311475</v>
      </c>
      <c r="J63" s="253">
        <f t="shared" si="71"/>
        <v>99197.88803734421</v>
      </c>
      <c r="K63" s="253">
        <f t="shared" si="71"/>
        <v>106606.19587212645</v>
      </c>
      <c r="L63" s="253">
        <f t="shared" si="71"/>
        <v>114029.22112469024</v>
      </c>
      <c r="M63" s="253">
        <f t="shared" si="71"/>
        <v>121466.98582156331</v>
      </c>
      <c r="N63" s="253">
        <f t="shared" si="71"/>
        <v>128919.51201860899</v>
      </c>
      <c r="O63" s="253">
        <f t="shared" si="71"/>
        <v>136386.82180106296</v>
      </c>
      <c r="P63" s="253">
        <f>P49-P61</f>
        <v>143868.93728356983</v>
      </c>
      <c r="Q63" s="248"/>
      <c r="R63" s="253">
        <f>R49-R61</f>
        <v>1235853.9560779752</v>
      </c>
    </row>
    <row r="64" spans="1:18" ht="15">
      <c r="A64" s="240"/>
      <c r="B64" s="240"/>
      <c r="C64" s="240"/>
      <c r="D64" s="233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4"/>
      <c r="R64" s="239"/>
    </row>
    <row r="65" spans="1:18" ht="15">
      <c r="A65" s="350" t="s">
        <v>89</v>
      </c>
      <c r="B65" s="350"/>
      <c r="C65" s="350"/>
      <c r="D65" s="231"/>
      <c r="E65" s="213">
        <f>E63/E49</f>
        <v>0.6102154197873134</v>
      </c>
      <c r="F65" s="213">
        <f aca="true" t="shared" si="72" ref="F65:R65">F63/F49</f>
        <v>0.6102154197873133</v>
      </c>
      <c r="G65" s="213">
        <f t="shared" si="72"/>
        <v>0.6102154197873135</v>
      </c>
      <c r="H65" s="213">
        <f t="shared" si="72"/>
        <v>0.6102154197873135</v>
      </c>
      <c r="I65" s="213">
        <f t="shared" si="72"/>
        <v>0.6102154197873135</v>
      </c>
      <c r="J65" s="213">
        <f t="shared" si="72"/>
        <v>0.6102154197873134</v>
      </c>
      <c r="K65" s="213">
        <f t="shared" si="72"/>
        <v>0.6102154197873135</v>
      </c>
      <c r="L65" s="213">
        <f t="shared" si="72"/>
        <v>0.6102154197873134</v>
      </c>
      <c r="M65" s="213">
        <f t="shared" si="72"/>
        <v>0.6102154197873135</v>
      </c>
      <c r="N65" s="213">
        <f t="shared" si="72"/>
        <v>0.6102154197873135</v>
      </c>
      <c r="O65" s="213">
        <f t="shared" si="72"/>
        <v>0.6102154197873134</v>
      </c>
      <c r="P65" s="213">
        <f t="shared" si="72"/>
        <v>0.6102154197873135</v>
      </c>
      <c r="Q65" s="265"/>
      <c r="R65" s="213">
        <f t="shared" si="72"/>
        <v>0.6102154197873136</v>
      </c>
    </row>
    <row r="66" spans="1:18" ht="15">
      <c r="A66" s="241"/>
      <c r="B66" s="241"/>
      <c r="C66" s="241"/>
      <c r="D66" s="231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265"/>
      <c r="R66" s="328"/>
    </row>
    <row r="67" spans="1:18" ht="15">
      <c r="A67" s="346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</row>
  </sheetData>
  <mergeCells count="31">
    <mergeCell ref="B23:C23"/>
    <mergeCell ref="B24:C24"/>
    <mergeCell ref="B25:C25"/>
    <mergeCell ref="B26:C26"/>
    <mergeCell ref="A8:C8"/>
    <mergeCell ref="A9:C9"/>
    <mergeCell ref="A10:C10"/>
    <mergeCell ref="A11:C11"/>
    <mergeCell ref="A12:C12"/>
    <mergeCell ref="A13:C13"/>
    <mergeCell ref="A16:C16"/>
    <mergeCell ref="A1:C1"/>
    <mergeCell ref="A2:C2"/>
    <mergeCell ref="N3:R3"/>
    <mergeCell ref="N1:R2"/>
    <mergeCell ref="A4:C4"/>
    <mergeCell ref="A63:C63"/>
    <mergeCell ref="A67:R67"/>
    <mergeCell ref="A49:C49"/>
    <mergeCell ref="A61:C61"/>
    <mergeCell ref="A5:C5"/>
    <mergeCell ref="A6:C6"/>
    <mergeCell ref="A7:C7"/>
    <mergeCell ref="A14:C14"/>
    <mergeCell ref="A15:C15"/>
    <mergeCell ref="A17:C17"/>
    <mergeCell ref="A18:C18"/>
    <mergeCell ref="A19:C19"/>
    <mergeCell ref="A21:C21"/>
    <mergeCell ref="A65:C65"/>
    <mergeCell ref="B27:C27"/>
  </mergeCells>
  <printOptions/>
  <pageMargins left="0.25" right="0.25" top="0.75" bottom="0.75" header="0.3" footer="0.3"/>
  <pageSetup fitToHeight="1" fitToWidth="1" horizontalDpi="600" verticalDpi="600" orientation="landscape" scale="50" r:id="rId1"/>
  <headerFooter>
    <oddFooter>&amp;R3</oddFooter>
  </headerFooter>
  <ignoredErrors>
    <ignoredError sqref="E26:P27 E30 F30:P36 E31:E36 E40:P40 E41 E42:P47 F41:P41 E23:P23 E25:P25 E24:P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tabSelected="1" zoomScale="85" zoomScaleNormal="85" zoomScalePageLayoutView="55" workbookViewId="0" topLeftCell="A1">
      <selection activeCell="W27" sqref="W27"/>
    </sheetView>
  </sheetViews>
  <sheetFormatPr defaultColWidth="9.140625" defaultRowHeight="15"/>
  <cols>
    <col min="1" max="1" width="42.00390625" style="154" bestFit="1" customWidth="1"/>
    <col min="2" max="2" width="5.57421875" style="154" bestFit="1" customWidth="1"/>
    <col min="3" max="3" width="0.42578125" style="154" customWidth="1"/>
    <col min="4" max="12" width="10.421875" style="154" bestFit="1" customWidth="1"/>
    <col min="13" max="15" width="11.7109375" style="154" bestFit="1" customWidth="1"/>
    <col min="16" max="16" width="0.42578125" style="154" customWidth="1"/>
    <col min="17" max="17" width="13.28125" style="154" customWidth="1"/>
    <col min="18" max="16384" width="9.140625" style="154" customWidth="1"/>
  </cols>
  <sheetData>
    <row r="1" spans="1:17" ht="15" customHeight="1">
      <c r="A1" s="352" t="s">
        <v>121</v>
      </c>
      <c r="B1" s="352"/>
      <c r="C1" s="171"/>
      <c r="D1" s="370"/>
      <c r="E1" s="370"/>
      <c r="F1" s="370"/>
      <c r="G1" s="370"/>
      <c r="H1" s="370"/>
      <c r="I1" s="370"/>
      <c r="J1" s="370"/>
      <c r="K1" s="370"/>
      <c r="L1" s="370"/>
      <c r="M1" s="371" t="str">
        <f>'Request Overview'!$H$1</f>
        <v>Marijuana Retail Proforma</v>
      </c>
      <c r="N1" s="371"/>
      <c r="O1" s="371"/>
      <c r="P1" s="371"/>
      <c r="Q1" s="371"/>
    </row>
    <row r="2" spans="1:17" ht="12.75" customHeight="1">
      <c r="A2" s="354" t="s">
        <v>202</v>
      </c>
      <c r="B2" s="354"/>
      <c r="C2" s="171"/>
      <c r="D2" s="370"/>
      <c r="E2" s="370"/>
      <c r="F2" s="370"/>
      <c r="G2" s="370"/>
      <c r="H2" s="370"/>
      <c r="I2" s="370"/>
      <c r="J2" s="370"/>
      <c r="K2" s="370"/>
      <c r="L2" s="370"/>
      <c r="M2" s="371"/>
      <c r="N2" s="371"/>
      <c r="O2" s="371"/>
      <c r="P2" s="371"/>
      <c r="Q2" s="371"/>
    </row>
    <row r="3" spans="1:17" ht="15">
      <c r="A3" s="322"/>
      <c r="B3" s="322"/>
      <c r="C3" s="171"/>
      <c r="D3" s="376" t="str">
        <f>'Request Overview'!$D$3</f>
        <v>© RMMC Consulting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</row>
    <row r="4" spans="1:17" ht="15">
      <c r="A4" s="172"/>
      <c r="B4" s="51"/>
      <c r="C4" s="52"/>
      <c r="D4" s="51" t="s">
        <v>0</v>
      </c>
      <c r="E4" s="51" t="s">
        <v>1</v>
      </c>
      <c r="F4" s="51" t="s">
        <v>2</v>
      </c>
      <c r="G4" s="51" t="s">
        <v>3</v>
      </c>
      <c r="H4" s="51" t="s">
        <v>4</v>
      </c>
      <c r="I4" s="51" t="s">
        <v>5</v>
      </c>
      <c r="J4" s="51" t="s">
        <v>6</v>
      </c>
      <c r="K4" s="51" t="s">
        <v>7</v>
      </c>
      <c r="L4" s="51" t="s">
        <v>8</v>
      </c>
      <c r="M4" s="51" t="s">
        <v>9</v>
      </c>
      <c r="N4" s="51" t="s">
        <v>10</v>
      </c>
      <c r="O4" s="51" t="s">
        <v>11</v>
      </c>
      <c r="P4" s="52"/>
      <c r="Q4" s="173" t="s">
        <v>12</v>
      </c>
    </row>
    <row r="5" spans="1:17" ht="14.25">
      <c r="A5" s="260" t="s">
        <v>13</v>
      </c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6"/>
    </row>
    <row r="6" spans="1:17" ht="14.25">
      <c r="A6" s="149" t="s">
        <v>88</v>
      </c>
      <c r="B6" s="155"/>
      <c r="C6" s="156"/>
      <c r="D6" s="155">
        <f>'Sales Forcast'!E63</f>
        <v>62376.341250571866</v>
      </c>
      <c r="E6" s="155">
        <f>'Sales Forcast'!F63</f>
        <v>69711.39137017471</v>
      </c>
      <c r="F6" s="155">
        <f>'Sales Forcast'!G63</f>
        <v>77061.04921367552</v>
      </c>
      <c r="G6" s="155">
        <f>'Sales Forcast'!H63</f>
        <v>84425.33666147196</v>
      </c>
      <c r="H6" s="155">
        <f>'Sales Forcast'!I63</f>
        <v>91804.27562311475</v>
      </c>
      <c r="I6" s="155">
        <f>'Sales Forcast'!J63</f>
        <v>99197.88803734421</v>
      </c>
      <c r="J6" s="155">
        <f>'Sales Forcast'!K63</f>
        <v>106606.19587212645</v>
      </c>
      <c r="K6" s="155">
        <f>'Sales Forcast'!L63</f>
        <v>114029.22112469024</v>
      </c>
      <c r="L6" s="155">
        <f>'Sales Forcast'!M63</f>
        <v>121466.98582156331</v>
      </c>
      <c r="M6" s="155">
        <f>'Sales Forcast'!N63</f>
        <v>128919.51201860899</v>
      </c>
      <c r="N6" s="155">
        <f>'Sales Forcast'!O63</f>
        <v>136386.82180106296</v>
      </c>
      <c r="O6" s="155">
        <f>'Sales Forcast'!P63</f>
        <v>143868.93728356983</v>
      </c>
      <c r="P6" s="156"/>
      <c r="Q6" s="155">
        <f>SUM(D6:P6)</f>
        <v>1235853.9560779748</v>
      </c>
    </row>
    <row r="7" spans="1:17" ht="15">
      <c r="A7" s="63"/>
      <c r="B7" s="64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58"/>
    </row>
    <row r="8" spans="1:17" ht="14.25">
      <c r="A8" s="259" t="s">
        <v>90</v>
      </c>
      <c r="B8" s="66"/>
      <c r="C8" s="57"/>
      <c r="D8" s="66" t="s">
        <v>0</v>
      </c>
      <c r="E8" s="66" t="s">
        <v>1</v>
      </c>
      <c r="F8" s="66" t="s">
        <v>2</v>
      </c>
      <c r="G8" s="66" t="s">
        <v>3</v>
      </c>
      <c r="H8" s="66" t="s">
        <v>4</v>
      </c>
      <c r="I8" s="66" t="s">
        <v>5</v>
      </c>
      <c r="J8" s="66" t="s">
        <v>6</v>
      </c>
      <c r="K8" s="66" t="s">
        <v>7</v>
      </c>
      <c r="L8" s="66" t="s">
        <v>8</v>
      </c>
      <c r="M8" s="66" t="s">
        <v>9</v>
      </c>
      <c r="N8" s="66" t="s">
        <v>10</v>
      </c>
      <c r="O8" s="66" t="s">
        <v>11</v>
      </c>
      <c r="P8" s="57"/>
      <c r="Q8" s="67" t="s">
        <v>12</v>
      </c>
    </row>
    <row r="9" spans="1:17" ht="15">
      <c r="A9" s="68" t="s">
        <v>240</v>
      </c>
      <c r="B9" s="69"/>
      <c r="C9" s="70"/>
      <c r="D9" s="335">
        <v>23125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0"/>
      <c r="Q9" s="72">
        <f>SUM(D9:P9)</f>
        <v>23125</v>
      </c>
    </row>
    <row r="10" spans="1:17" ht="15">
      <c r="A10" s="68" t="s">
        <v>26</v>
      </c>
      <c r="B10" s="73"/>
      <c r="C10" s="70"/>
      <c r="D10" s="71">
        <v>1200</v>
      </c>
      <c r="E10" s="71">
        <v>1200</v>
      </c>
      <c r="F10" s="71">
        <v>1200</v>
      </c>
      <c r="G10" s="71">
        <v>1200</v>
      </c>
      <c r="H10" s="71">
        <v>1200</v>
      </c>
      <c r="I10" s="71">
        <v>1200</v>
      </c>
      <c r="J10" s="71">
        <v>1200</v>
      </c>
      <c r="K10" s="71">
        <v>1200</v>
      </c>
      <c r="L10" s="71">
        <v>1200</v>
      </c>
      <c r="M10" s="71">
        <v>1200</v>
      </c>
      <c r="N10" s="71">
        <v>1200</v>
      </c>
      <c r="O10" s="71">
        <v>1200</v>
      </c>
      <c r="P10" s="157"/>
      <c r="Q10" s="72">
        <f aca="true" t="shared" si="0" ref="Q10:Q11">SUM(D10:P10)</f>
        <v>14400</v>
      </c>
    </row>
    <row r="11" spans="1:17" ht="15">
      <c r="A11" s="68" t="s">
        <v>239</v>
      </c>
      <c r="B11" s="73"/>
      <c r="C11" s="70"/>
      <c r="D11" s="71">
        <v>1500</v>
      </c>
      <c r="E11" s="71">
        <v>1500</v>
      </c>
      <c r="F11" s="71">
        <v>1500</v>
      </c>
      <c r="G11" s="71">
        <v>1500</v>
      </c>
      <c r="H11" s="71">
        <v>1500</v>
      </c>
      <c r="I11" s="71">
        <v>1500</v>
      </c>
      <c r="J11" s="71">
        <v>1500</v>
      </c>
      <c r="K11" s="71">
        <v>1500</v>
      </c>
      <c r="L11" s="71">
        <v>1500</v>
      </c>
      <c r="M11" s="71">
        <v>1500</v>
      </c>
      <c r="N11" s="71">
        <v>1500</v>
      </c>
      <c r="O11" s="71">
        <v>1500</v>
      </c>
      <c r="P11" s="157"/>
      <c r="Q11" s="72">
        <f t="shared" si="0"/>
        <v>18000</v>
      </c>
    </row>
    <row r="12" spans="1:17" ht="15">
      <c r="A12" s="68" t="s">
        <v>16</v>
      </c>
      <c r="B12" s="73"/>
      <c r="C12" s="70"/>
      <c r="D12" s="71">
        <v>900</v>
      </c>
      <c r="E12" s="71">
        <v>900</v>
      </c>
      <c r="F12" s="71">
        <v>900</v>
      </c>
      <c r="G12" s="71">
        <v>900</v>
      </c>
      <c r="H12" s="71">
        <v>900</v>
      </c>
      <c r="I12" s="71">
        <v>900</v>
      </c>
      <c r="J12" s="71">
        <v>900</v>
      </c>
      <c r="K12" s="71">
        <v>900</v>
      </c>
      <c r="L12" s="71">
        <v>900</v>
      </c>
      <c r="M12" s="71">
        <v>900</v>
      </c>
      <c r="N12" s="71">
        <v>900</v>
      </c>
      <c r="O12" s="71">
        <v>900</v>
      </c>
      <c r="P12" s="70"/>
      <c r="Q12" s="72">
        <f aca="true" t="shared" si="1" ref="Q12:Q18">SUM(D12:P12)</f>
        <v>10800</v>
      </c>
    </row>
    <row r="13" spans="1:17" ht="15">
      <c r="A13" s="68" t="s">
        <v>25</v>
      </c>
      <c r="B13" s="73"/>
      <c r="C13" s="70"/>
      <c r="D13" s="71">
        <v>500</v>
      </c>
      <c r="E13" s="71">
        <v>500</v>
      </c>
      <c r="F13" s="71">
        <v>500</v>
      </c>
      <c r="G13" s="71">
        <v>500</v>
      </c>
      <c r="H13" s="71">
        <v>500</v>
      </c>
      <c r="I13" s="71">
        <v>500</v>
      </c>
      <c r="J13" s="71">
        <v>500</v>
      </c>
      <c r="K13" s="71">
        <v>500</v>
      </c>
      <c r="L13" s="71">
        <v>500</v>
      </c>
      <c r="M13" s="71">
        <v>500</v>
      </c>
      <c r="N13" s="71">
        <v>500</v>
      </c>
      <c r="O13" s="71">
        <v>500</v>
      </c>
      <c r="P13" s="70"/>
      <c r="Q13" s="72">
        <f t="shared" si="1"/>
        <v>6000</v>
      </c>
    </row>
    <row r="14" spans="1:17" ht="15">
      <c r="A14" s="68" t="s">
        <v>54</v>
      </c>
      <c r="B14" s="73"/>
      <c r="C14" s="70"/>
      <c r="D14" s="71">
        <v>5000</v>
      </c>
      <c r="E14" s="71">
        <v>5000</v>
      </c>
      <c r="F14" s="71">
        <v>5000</v>
      </c>
      <c r="G14" s="71">
        <v>5000</v>
      </c>
      <c r="H14" s="71">
        <v>5000</v>
      </c>
      <c r="I14" s="71">
        <v>5000</v>
      </c>
      <c r="J14" s="71">
        <v>5000</v>
      </c>
      <c r="K14" s="71">
        <v>5000</v>
      </c>
      <c r="L14" s="71">
        <v>5000</v>
      </c>
      <c r="M14" s="71">
        <v>5000</v>
      </c>
      <c r="N14" s="71">
        <v>5000</v>
      </c>
      <c r="O14" s="71">
        <v>5000</v>
      </c>
      <c r="P14" s="157"/>
      <c r="Q14" s="72">
        <f t="shared" si="1"/>
        <v>60000</v>
      </c>
    </row>
    <row r="15" spans="1:17" ht="15">
      <c r="A15" s="68" t="s">
        <v>27</v>
      </c>
      <c r="B15" s="69"/>
      <c r="C15" s="74"/>
      <c r="D15" s="71">
        <v>1100</v>
      </c>
      <c r="E15" s="71">
        <v>1100</v>
      </c>
      <c r="F15" s="71">
        <v>1100</v>
      </c>
      <c r="G15" s="71">
        <v>1100</v>
      </c>
      <c r="H15" s="71">
        <v>1100</v>
      </c>
      <c r="I15" s="71">
        <v>1100</v>
      </c>
      <c r="J15" s="71">
        <v>1100</v>
      </c>
      <c r="K15" s="71">
        <v>1100</v>
      </c>
      <c r="L15" s="71">
        <v>1100</v>
      </c>
      <c r="M15" s="71">
        <v>1100</v>
      </c>
      <c r="N15" s="71">
        <v>1100</v>
      </c>
      <c r="O15" s="71">
        <v>1100</v>
      </c>
      <c r="P15" s="75"/>
      <c r="Q15" s="72">
        <f t="shared" si="1"/>
        <v>13200</v>
      </c>
    </row>
    <row r="16" spans="1:17" ht="15">
      <c r="A16" s="68" t="s">
        <v>28</v>
      </c>
      <c r="B16" s="69"/>
      <c r="C16" s="74"/>
      <c r="D16" s="71">
        <v>300</v>
      </c>
      <c r="E16" s="71">
        <v>300</v>
      </c>
      <c r="F16" s="71">
        <v>300</v>
      </c>
      <c r="G16" s="71">
        <v>300</v>
      </c>
      <c r="H16" s="71">
        <v>300</v>
      </c>
      <c r="I16" s="71">
        <v>300</v>
      </c>
      <c r="J16" s="71">
        <v>300</v>
      </c>
      <c r="K16" s="71">
        <v>300</v>
      </c>
      <c r="L16" s="71">
        <v>300</v>
      </c>
      <c r="M16" s="71">
        <v>300</v>
      </c>
      <c r="N16" s="71">
        <v>300</v>
      </c>
      <c r="O16" s="71">
        <v>300</v>
      </c>
      <c r="P16" s="75"/>
      <c r="Q16" s="72">
        <f t="shared" si="1"/>
        <v>3600</v>
      </c>
    </row>
    <row r="17" spans="1:17" ht="15">
      <c r="A17" s="68" t="s">
        <v>56</v>
      </c>
      <c r="B17" s="68"/>
      <c r="C17" s="74"/>
      <c r="D17" s="72">
        <v>500</v>
      </c>
      <c r="E17" s="72">
        <v>500</v>
      </c>
      <c r="F17" s="72">
        <v>500</v>
      </c>
      <c r="G17" s="72">
        <v>500</v>
      </c>
      <c r="H17" s="72">
        <v>500</v>
      </c>
      <c r="I17" s="72">
        <v>500</v>
      </c>
      <c r="J17" s="72">
        <v>500</v>
      </c>
      <c r="K17" s="72">
        <v>500</v>
      </c>
      <c r="L17" s="72">
        <v>500</v>
      </c>
      <c r="M17" s="72">
        <v>500</v>
      </c>
      <c r="N17" s="72">
        <v>500</v>
      </c>
      <c r="O17" s="72">
        <v>500</v>
      </c>
      <c r="P17" s="75"/>
      <c r="Q17" s="72">
        <f t="shared" si="1"/>
        <v>6000</v>
      </c>
    </row>
    <row r="18" spans="1:17" ht="15">
      <c r="A18" s="68" t="s">
        <v>55</v>
      </c>
      <c r="B18" s="68"/>
      <c r="C18" s="74"/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  <c r="L18" s="72">
        <v>100</v>
      </c>
      <c r="M18" s="72">
        <v>100</v>
      </c>
      <c r="N18" s="72">
        <v>100</v>
      </c>
      <c r="O18" s="72">
        <v>100</v>
      </c>
      <c r="P18" s="75"/>
      <c r="Q18" s="72">
        <f t="shared" si="1"/>
        <v>1200</v>
      </c>
    </row>
    <row r="19" spans="1:17" ht="15">
      <c r="A19" s="63"/>
      <c r="B19" s="58"/>
      <c r="C19" s="57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6"/>
      <c r="Q19" s="72"/>
    </row>
    <row r="20" spans="1:17" ht="15">
      <c r="A20" s="68" t="s">
        <v>14</v>
      </c>
      <c r="B20" s="73"/>
      <c r="C20" s="70"/>
      <c r="D20" s="71">
        <f>D55</f>
        <v>21583.333333333332</v>
      </c>
      <c r="E20" s="71">
        <f>E55</f>
        <v>21583.333333333332</v>
      </c>
      <c r="F20" s="71">
        <f>F55</f>
        <v>23333.333333333332</v>
      </c>
      <c r="G20" s="71">
        <f aca="true" t="shared" si="2" ref="G20:O20">G55</f>
        <v>25083.333333333332</v>
      </c>
      <c r="H20" s="71">
        <f t="shared" si="2"/>
        <v>26833.333333333332</v>
      </c>
      <c r="I20" s="71">
        <f t="shared" si="2"/>
        <v>26833.333333333332</v>
      </c>
      <c r="J20" s="71">
        <f t="shared" si="2"/>
        <v>26833.333333333332</v>
      </c>
      <c r="K20" s="71">
        <f t="shared" si="2"/>
        <v>26833.333333333332</v>
      </c>
      <c r="L20" s="71">
        <f t="shared" si="2"/>
        <v>26833.333333333332</v>
      </c>
      <c r="M20" s="71">
        <f t="shared" si="2"/>
        <v>26833.333333333332</v>
      </c>
      <c r="N20" s="71">
        <f t="shared" si="2"/>
        <v>26833.333333333332</v>
      </c>
      <c r="O20" s="71">
        <f t="shared" si="2"/>
        <v>26833.333333333332</v>
      </c>
      <c r="P20" s="70"/>
      <c r="Q20" s="72">
        <f>SUM(D20:P20)</f>
        <v>306250</v>
      </c>
    </row>
    <row r="21" spans="1:17" ht="15">
      <c r="A21" s="68" t="s">
        <v>15</v>
      </c>
      <c r="B21" s="110">
        <v>0.15</v>
      </c>
      <c r="C21" s="70"/>
      <c r="D21" s="71">
        <f>D20*B21</f>
        <v>3237.4999999999995</v>
      </c>
      <c r="E21" s="71">
        <f>E20*B21</f>
        <v>3237.4999999999995</v>
      </c>
      <c r="F21" s="71">
        <f>F20*B21</f>
        <v>3499.9999999999995</v>
      </c>
      <c r="G21" s="71">
        <f>G20*B21</f>
        <v>3762.4999999999995</v>
      </c>
      <c r="H21" s="71">
        <f>H20*B21</f>
        <v>4024.9999999999995</v>
      </c>
      <c r="I21" s="71">
        <f>I20*B21</f>
        <v>4024.9999999999995</v>
      </c>
      <c r="J21" s="71">
        <f>J20*B21</f>
        <v>4024.9999999999995</v>
      </c>
      <c r="K21" s="71">
        <f>K20*B21</f>
        <v>4024.9999999999995</v>
      </c>
      <c r="L21" s="71">
        <f>L20*B21</f>
        <v>4024.9999999999995</v>
      </c>
      <c r="M21" s="71">
        <f>M20*B21</f>
        <v>4024.9999999999995</v>
      </c>
      <c r="N21" s="71">
        <f>N20*B21</f>
        <v>4024.9999999999995</v>
      </c>
      <c r="O21" s="71">
        <f>O20*B21</f>
        <v>4024.9999999999995</v>
      </c>
      <c r="P21" s="70"/>
      <c r="Q21" s="72">
        <f>SUM(D21:P21)</f>
        <v>45937.49999999999</v>
      </c>
    </row>
    <row r="22" spans="1:17" ht="15">
      <c r="A22" s="68" t="s">
        <v>141</v>
      </c>
      <c r="B22" s="69"/>
      <c r="C22" s="70"/>
      <c r="D22" s="71">
        <v>1500</v>
      </c>
      <c r="E22" s="71">
        <v>1500</v>
      </c>
      <c r="F22" s="71">
        <v>1500</v>
      </c>
      <c r="G22" s="71">
        <v>1500</v>
      </c>
      <c r="H22" s="71">
        <v>1500</v>
      </c>
      <c r="I22" s="71">
        <v>1500</v>
      </c>
      <c r="J22" s="71">
        <v>1500</v>
      </c>
      <c r="K22" s="71">
        <v>1500</v>
      </c>
      <c r="L22" s="71">
        <v>1500</v>
      </c>
      <c r="M22" s="71">
        <v>1500</v>
      </c>
      <c r="N22" s="71">
        <v>1500</v>
      </c>
      <c r="O22" s="71">
        <v>1500</v>
      </c>
      <c r="P22" s="70"/>
      <c r="Q22" s="72">
        <f>SUM(D22:P22)</f>
        <v>18000</v>
      </c>
    </row>
    <row r="23" spans="1:17" ht="15">
      <c r="A23" s="63"/>
      <c r="B23" s="64"/>
      <c r="C23" s="6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5"/>
      <c r="Q23" s="73"/>
    </row>
    <row r="24" spans="1:17" ht="14.25">
      <c r="A24" s="258" t="s">
        <v>91</v>
      </c>
      <c r="B24" s="87"/>
      <c r="C24" s="57"/>
      <c r="D24" s="88">
        <f aca="true" t="shared" si="3" ref="D24:O24">SUM(D9:D23)</f>
        <v>60545.83333333333</v>
      </c>
      <c r="E24" s="88">
        <f t="shared" si="3"/>
        <v>37420.83333333333</v>
      </c>
      <c r="F24" s="88">
        <f t="shared" si="3"/>
        <v>39433.33333333333</v>
      </c>
      <c r="G24" s="88">
        <f t="shared" si="3"/>
        <v>41445.83333333333</v>
      </c>
      <c r="H24" s="88">
        <f t="shared" si="3"/>
        <v>43458.33333333333</v>
      </c>
      <c r="I24" s="88">
        <f t="shared" si="3"/>
        <v>43458.33333333333</v>
      </c>
      <c r="J24" s="88">
        <f t="shared" si="3"/>
        <v>43458.33333333333</v>
      </c>
      <c r="K24" s="88">
        <f t="shared" si="3"/>
        <v>43458.33333333333</v>
      </c>
      <c r="L24" s="88">
        <f t="shared" si="3"/>
        <v>43458.33333333333</v>
      </c>
      <c r="M24" s="88">
        <f t="shared" si="3"/>
        <v>43458.33333333333</v>
      </c>
      <c r="N24" s="88">
        <f t="shared" si="3"/>
        <v>43458.33333333333</v>
      </c>
      <c r="O24" s="88">
        <f t="shared" si="3"/>
        <v>43458.33333333333</v>
      </c>
      <c r="P24" s="78"/>
      <c r="Q24" s="88">
        <f>SUM(D24:P24)</f>
        <v>526512.4999999999</v>
      </c>
    </row>
    <row r="25" spans="1:17" ht="15">
      <c r="A25" s="63"/>
      <c r="B25" s="58"/>
      <c r="C25" s="5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7"/>
    </row>
    <row r="26" spans="1:17" ht="14.25">
      <c r="A26" s="150" t="s">
        <v>92</v>
      </c>
      <c r="B26" s="158"/>
      <c r="C26" s="159"/>
      <c r="D26" s="158">
        <f aca="true" t="shared" si="4" ref="D26:O26">SUM(D6-D24)</f>
        <v>1830.5079172385376</v>
      </c>
      <c r="E26" s="158">
        <f t="shared" si="4"/>
        <v>32290.55803684138</v>
      </c>
      <c r="F26" s="158">
        <f t="shared" si="4"/>
        <v>37627.71588034219</v>
      </c>
      <c r="G26" s="158">
        <f t="shared" si="4"/>
        <v>42979.50332813863</v>
      </c>
      <c r="H26" s="158">
        <f t="shared" si="4"/>
        <v>48345.94228978142</v>
      </c>
      <c r="I26" s="158">
        <f t="shared" si="4"/>
        <v>55739.55470401088</v>
      </c>
      <c r="J26" s="158">
        <f t="shared" si="4"/>
        <v>63147.862538793124</v>
      </c>
      <c r="K26" s="158">
        <f t="shared" si="4"/>
        <v>70570.88779135692</v>
      </c>
      <c r="L26" s="158">
        <f t="shared" si="4"/>
        <v>78008.65248822999</v>
      </c>
      <c r="M26" s="158">
        <f t="shared" si="4"/>
        <v>85461.17868527566</v>
      </c>
      <c r="N26" s="158">
        <f t="shared" si="4"/>
        <v>92928.48846772964</v>
      </c>
      <c r="O26" s="158">
        <f t="shared" si="4"/>
        <v>100410.6039502365</v>
      </c>
      <c r="P26" s="159"/>
      <c r="Q26" s="158">
        <f>SUM(D26:P26)</f>
        <v>709341.4560779749</v>
      </c>
    </row>
    <row r="27" spans="1:17" ht="15">
      <c r="A27" s="160"/>
      <c r="B27" s="161"/>
      <c r="C27" s="157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  <c r="Q27" s="162"/>
    </row>
    <row r="28" spans="1:17" ht="14.25">
      <c r="A28" s="151" t="s">
        <v>125</v>
      </c>
      <c r="B28" s="164"/>
      <c r="C28" s="159"/>
      <c r="D28" s="261">
        <f>-(D70)</f>
        <v>-5750</v>
      </c>
      <c r="E28" s="261">
        <f aca="true" t="shared" si="5" ref="E28:O28">-E70</f>
        <v>-5750</v>
      </c>
      <c r="F28" s="261">
        <f t="shared" si="5"/>
        <v>-5750</v>
      </c>
      <c r="G28" s="261">
        <f t="shared" si="5"/>
        <v>-5750</v>
      </c>
      <c r="H28" s="261">
        <f t="shared" si="5"/>
        <v>-5750</v>
      </c>
      <c r="I28" s="261">
        <f t="shared" si="5"/>
        <v>-5750</v>
      </c>
      <c r="J28" s="261">
        <f t="shared" si="5"/>
        <v>-5750</v>
      </c>
      <c r="K28" s="261">
        <f t="shared" si="5"/>
        <v>-5750</v>
      </c>
      <c r="L28" s="261">
        <f t="shared" si="5"/>
        <v>-5750</v>
      </c>
      <c r="M28" s="261">
        <f t="shared" si="5"/>
        <v>-5750</v>
      </c>
      <c r="N28" s="261">
        <f t="shared" si="5"/>
        <v>-5750</v>
      </c>
      <c r="O28" s="261">
        <f t="shared" si="5"/>
        <v>-5750</v>
      </c>
      <c r="P28" s="262"/>
      <c r="Q28" s="261">
        <f>SUM(D28:P28)</f>
        <v>-69000</v>
      </c>
    </row>
    <row r="29" spans="1:17" ht="15">
      <c r="A29" s="160"/>
      <c r="B29" s="161"/>
      <c r="C29" s="157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/>
      <c r="Q29" s="162"/>
    </row>
    <row r="30" spans="1:17" ht="14.25">
      <c r="A30" s="257" t="s">
        <v>126</v>
      </c>
      <c r="B30" s="168"/>
      <c r="C30" s="174"/>
      <c r="D30" s="263">
        <f>SUM(D26:D28)</f>
        <v>-3919.4920827614624</v>
      </c>
      <c r="E30" s="168">
        <f aca="true" t="shared" si="6" ref="E30:O30">SUM(E26:E28)</f>
        <v>26540.55803684138</v>
      </c>
      <c r="F30" s="168">
        <f t="shared" si="6"/>
        <v>31877.71588034219</v>
      </c>
      <c r="G30" s="168">
        <f t="shared" si="6"/>
        <v>37229.50332813863</v>
      </c>
      <c r="H30" s="168">
        <f t="shared" si="6"/>
        <v>42595.94228978142</v>
      </c>
      <c r="I30" s="168">
        <f t="shared" si="6"/>
        <v>49989.55470401088</v>
      </c>
      <c r="J30" s="168">
        <f t="shared" si="6"/>
        <v>57397.862538793124</v>
      </c>
      <c r="K30" s="168">
        <f t="shared" si="6"/>
        <v>64820.887791356916</v>
      </c>
      <c r="L30" s="168">
        <f t="shared" si="6"/>
        <v>72258.65248822999</v>
      </c>
      <c r="M30" s="168">
        <f t="shared" si="6"/>
        <v>79711.17868527566</v>
      </c>
      <c r="N30" s="168">
        <f t="shared" si="6"/>
        <v>87178.48846772964</v>
      </c>
      <c r="O30" s="168">
        <f t="shared" si="6"/>
        <v>94660.6039502365</v>
      </c>
      <c r="P30" s="169"/>
      <c r="Q30" s="168">
        <f>SUM(D30:P30)</f>
        <v>640341.4560779749</v>
      </c>
    </row>
    <row r="31" spans="1:17" ht="15">
      <c r="A31" s="59" t="s">
        <v>122</v>
      </c>
      <c r="B31" s="86">
        <v>0.15</v>
      </c>
      <c r="C31" s="174"/>
      <c r="D31" s="148">
        <f>'Sales Forcast'!$E$49*B32</f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169"/>
      <c r="Q31" s="62"/>
    </row>
    <row r="32" spans="1:17" ht="15">
      <c r="A32" s="59" t="s">
        <v>123</v>
      </c>
      <c r="B32" s="60"/>
      <c r="C32" s="16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65"/>
      <c r="Q32" s="62"/>
    </row>
    <row r="33" spans="1:17" ht="14.25">
      <c r="A33" s="175" t="s">
        <v>204</v>
      </c>
      <c r="B33" s="170"/>
      <c r="C33" s="165"/>
      <c r="D33" s="264">
        <f>SUM(D29:D31)</f>
        <v>-3919.4920827614624</v>
      </c>
      <c r="E33" s="170">
        <f aca="true" t="shared" si="7" ref="E33:O33">SUM(E29:E31)</f>
        <v>26540.55803684138</v>
      </c>
      <c r="F33" s="170">
        <f t="shared" si="7"/>
        <v>31877.71588034219</v>
      </c>
      <c r="G33" s="170">
        <f t="shared" si="7"/>
        <v>37229.50332813863</v>
      </c>
      <c r="H33" s="170">
        <f t="shared" si="7"/>
        <v>42595.94228978142</v>
      </c>
      <c r="I33" s="170">
        <f t="shared" si="7"/>
        <v>49989.55470401088</v>
      </c>
      <c r="J33" s="170">
        <f t="shared" si="7"/>
        <v>57397.862538793124</v>
      </c>
      <c r="K33" s="170">
        <f t="shared" si="7"/>
        <v>64820.887791356916</v>
      </c>
      <c r="L33" s="170">
        <f t="shared" si="7"/>
        <v>72258.65248822999</v>
      </c>
      <c r="M33" s="170">
        <f t="shared" si="7"/>
        <v>79711.17868527566</v>
      </c>
      <c r="N33" s="170">
        <f t="shared" si="7"/>
        <v>87178.48846772964</v>
      </c>
      <c r="O33" s="170">
        <f t="shared" si="7"/>
        <v>94660.6039502365</v>
      </c>
      <c r="P33" s="165"/>
      <c r="Q33" s="170">
        <f>SUM(D33:P33)</f>
        <v>640341.4560779749</v>
      </c>
    </row>
    <row r="34" spans="1:17" ht="14.25">
      <c r="A34" s="266"/>
      <c r="B34" s="267"/>
      <c r="C34" s="165"/>
      <c r="D34" s="268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165"/>
      <c r="Q34" s="267"/>
    </row>
    <row r="35" spans="1:17" ht="14.25">
      <c r="A35" s="269" t="s">
        <v>206</v>
      </c>
      <c r="B35" s="270"/>
      <c r="C35" s="165"/>
      <c r="D35" s="271">
        <f>D33/'Sales Forcast'!$E$49</f>
        <v>-0.03834361648477434</v>
      </c>
      <c r="E35" s="271">
        <f>E33/'Sales Forcast'!$F$49</f>
        <v>0.23232153950049794</v>
      </c>
      <c r="F35" s="271">
        <f>F33/'Sales Forcast'!$G$49</f>
        <v>0.2524267963682443</v>
      </c>
      <c r="G35" s="271">
        <f>G33/'Sales Forcast'!$H$49</f>
        <v>0.2690900374249951</v>
      </c>
      <c r="H35" s="271">
        <f>H33/'Sales Forcast'!$I$49</f>
        <v>0.2831317019732644</v>
      </c>
      <c r="I35" s="271">
        <f>I33/'Sales Forcast'!$J$49</f>
        <v>0.3075105499948258</v>
      </c>
      <c r="J35" s="271">
        <f>J33/'Sales Forcast'!$K$49</f>
        <v>0.32854620219275554</v>
      </c>
      <c r="K35" s="271">
        <f>K33/'Sales Forcast'!$L$49</f>
        <v>0.3468821839214036</v>
      </c>
      <c r="L35" s="271">
        <f>L33/'Sales Forcast'!$M$49</f>
        <v>0.36300681755736164</v>
      </c>
      <c r="M35" s="271">
        <f>M33/'Sales Forcast'!$N$49</f>
        <v>0.3772973508940673</v>
      </c>
      <c r="N35" s="271">
        <f>N33/'Sales Forcast'!$O$49</f>
        <v>0.390049839377843</v>
      </c>
      <c r="O35" s="271">
        <f>O33/'Sales Forcast'!$P$49</f>
        <v>0.4014998738953701</v>
      </c>
      <c r="P35" s="272"/>
      <c r="Q35" s="271">
        <f>Q33/'Sales Forcast'!$R$49</f>
        <v>0.3161750856613249</v>
      </c>
    </row>
    <row r="36" spans="1:17" ht="1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</row>
    <row r="37" spans="1:17" ht="1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</row>
    <row r="38" spans="1:17" ht="14.25">
      <c r="A38" s="256" t="s">
        <v>124</v>
      </c>
      <c r="B38" s="79"/>
      <c r="C38" s="80"/>
      <c r="D38" s="79" t="s">
        <v>0</v>
      </c>
      <c r="E38" s="79" t="s">
        <v>1</v>
      </c>
      <c r="F38" s="79" t="s">
        <v>2</v>
      </c>
      <c r="G38" s="79" t="s">
        <v>3</v>
      </c>
      <c r="H38" s="79" t="s">
        <v>4</v>
      </c>
      <c r="I38" s="79" t="s">
        <v>5</v>
      </c>
      <c r="J38" s="79" t="s">
        <v>6</v>
      </c>
      <c r="K38" s="79" t="s">
        <v>7</v>
      </c>
      <c r="L38" s="79" t="s">
        <v>8</v>
      </c>
      <c r="M38" s="79" t="s">
        <v>9</v>
      </c>
      <c r="N38" s="79" t="s">
        <v>10</v>
      </c>
      <c r="O38" s="79" t="s">
        <v>11</v>
      </c>
      <c r="P38" s="80"/>
      <c r="Q38" s="79" t="s">
        <v>12</v>
      </c>
    </row>
    <row r="39" spans="1:17" ht="15">
      <c r="A39" s="81" t="s">
        <v>36</v>
      </c>
      <c r="B39" s="82"/>
      <c r="C39" s="83"/>
      <c r="D39" s="77">
        <f aca="true" t="shared" si="8" ref="D39:D48">SUM(Q39/12)</f>
        <v>2916.6666666666665</v>
      </c>
      <c r="E39" s="77">
        <f aca="true" t="shared" si="9" ref="E39:E48">SUM(Q39/12)</f>
        <v>2916.6666666666665</v>
      </c>
      <c r="F39" s="77">
        <f aca="true" t="shared" si="10" ref="F39:F48">SUM(Q39/12)</f>
        <v>2916.6666666666665</v>
      </c>
      <c r="G39" s="77">
        <f aca="true" t="shared" si="11" ref="G39:G48">SUM(Q39/12)</f>
        <v>2916.6666666666665</v>
      </c>
      <c r="H39" s="77">
        <f aca="true" t="shared" si="12" ref="H39:H48">SUM(Q39/12)</f>
        <v>2916.6666666666665</v>
      </c>
      <c r="I39" s="77">
        <f aca="true" t="shared" si="13" ref="I39:I48">SUM(Q39/12)</f>
        <v>2916.6666666666665</v>
      </c>
      <c r="J39" s="77">
        <f aca="true" t="shared" si="14" ref="J39:J48">SUM(Q39/12)</f>
        <v>2916.6666666666665</v>
      </c>
      <c r="K39" s="77">
        <f aca="true" t="shared" si="15" ref="K39:K48">SUM(Q39/12)</f>
        <v>2916.6666666666665</v>
      </c>
      <c r="L39" s="77">
        <f aca="true" t="shared" si="16" ref="L39:L48">SUM(Q39/12)</f>
        <v>2916.6666666666665</v>
      </c>
      <c r="M39" s="77">
        <f aca="true" t="shared" si="17" ref="M39:M48">SUM(Q39/12)</f>
        <v>2916.6666666666665</v>
      </c>
      <c r="N39" s="77">
        <f aca="true" t="shared" si="18" ref="N39:N48">SUM(Q39/12)</f>
        <v>2916.6666666666665</v>
      </c>
      <c r="O39" s="77">
        <f aca="true" t="shared" si="19" ref="O39:O48">SUM(Q39/12)</f>
        <v>2916.6666666666665</v>
      </c>
      <c r="P39" s="78"/>
      <c r="Q39" s="72">
        <v>35000</v>
      </c>
    </row>
    <row r="40" spans="1:17" ht="15">
      <c r="A40" s="81" t="s">
        <v>37</v>
      </c>
      <c r="B40" s="82"/>
      <c r="C40" s="83"/>
      <c r="D40" s="77">
        <f t="shared" si="8"/>
        <v>2083.3333333333335</v>
      </c>
      <c r="E40" s="77">
        <f t="shared" si="9"/>
        <v>2083.3333333333335</v>
      </c>
      <c r="F40" s="77">
        <f t="shared" si="10"/>
        <v>2083.3333333333335</v>
      </c>
      <c r="G40" s="77">
        <f t="shared" si="11"/>
        <v>2083.3333333333335</v>
      </c>
      <c r="H40" s="77">
        <f t="shared" si="12"/>
        <v>2083.3333333333335</v>
      </c>
      <c r="I40" s="77">
        <f t="shared" si="13"/>
        <v>2083.3333333333335</v>
      </c>
      <c r="J40" s="77">
        <f t="shared" si="14"/>
        <v>2083.3333333333335</v>
      </c>
      <c r="K40" s="77">
        <f t="shared" si="15"/>
        <v>2083.3333333333335</v>
      </c>
      <c r="L40" s="77">
        <f t="shared" si="16"/>
        <v>2083.3333333333335</v>
      </c>
      <c r="M40" s="77">
        <f t="shared" si="17"/>
        <v>2083.3333333333335</v>
      </c>
      <c r="N40" s="77">
        <f t="shared" si="18"/>
        <v>2083.3333333333335</v>
      </c>
      <c r="O40" s="77">
        <f t="shared" si="19"/>
        <v>2083.3333333333335</v>
      </c>
      <c r="P40" s="78"/>
      <c r="Q40" s="72">
        <v>25000</v>
      </c>
    </row>
    <row r="41" spans="1:17" ht="15">
      <c r="A41" s="81" t="s">
        <v>38</v>
      </c>
      <c r="B41" s="82"/>
      <c r="C41" s="83"/>
      <c r="D41" s="77">
        <f t="shared" si="8"/>
        <v>2083.3333333333335</v>
      </c>
      <c r="E41" s="77">
        <f t="shared" si="9"/>
        <v>2083.3333333333335</v>
      </c>
      <c r="F41" s="77">
        <f t="shared" si="10"/>
        <v>2083.3333333333335</v>
      </c>
      <c r="G41" s="77">
        <f t="shared" si="11"/>
        <v>2083.3333333333335</v>
      </c>
      <c r="H41" s="77">
        <f t="shared" si="12"/>
        <v>2083.3333333333335</v>
      </c>
      <c r="I41" s="77">
        <f t="shared" si="13"/>
        <v>2083.3333333333335</v>
      </c>
      <c r="J41" s="77">
        <f t="shared" si="14"/>
        <v>2083.3333333333335</v>
      </c>
      <c r="K41" s="77">
        <f t="shared" si="15"/>
        <v>2083.3333333333335</v>
      </c>
      <c r="L41" s="77">
        <f t="shared" si="16"/>
        <v>2083.3333333333335</v>
      </c>
      <c r="M41" s="77">
        <f t="shared" si="17"/>
        <v>2083.3333333333335</v>
      </c>
      <c r="N41" s="77">
        <f t="shared" si="18"/>
        <v>2083.3333333333335</v>
      </c>
      <c r="O41" s="77">
        <f t="shared" si="19"/>
        <v>2083.3333333333335</v>
      </c>
      <c r="P41" s="78"/>
      <c r="Q41" s="72">
        <v>25000</v>
      </c>
    </row>
    <row r="42" spans="1:17" ht="15">
      <c r="A42" s="81" t="s">
        <v>77</v>
      </c>
      <c r="B42" s="82"/>
      <c r="C42" s="83"/>
      <c r="D42" s="77">
        <f t="shared" si="8"/>
        <v>1750</v>
      </c>
      <c r="E42" s="77">
        <f t="shared" si="9"/>
        <v>1750</v>
      </c>
      <c r="F42" s="77">
        <f t="shared" si="10"/>
        <v>1750</v>
      </c>
      <c r="G42" s="77">
        <f t="shared" si="11"/>
        <v>1750</v>
      </c>
      <c r="H42" s="77">
        <f t="shared" si="12"/>
        <v>1750</v>
      </c>
      <c r="I42" s="77">
        <f t="shared" si="13"/>
        <v>1750</v>
      </c>
      <c r="J42" s="77">
        <f t="shared" si="14"/>
        <v>1750</v>
      </c>
      <c r="K42" s="77">
        <f t="shared" si="15"/>
        <v>1750</v>
      </c>
      <c r="L42" s="77">
        <f t="shared" si="16"/>
        <v>1750</v>
      </c>
      <c r="M42" s="77">
        <f t="shared" si="17"/>
        <v>1750</v>
      </c>
      <c r="N42" s="77">
        <f t="shared" si="18"/>
        <v>1750</v>
      </c>
      <c r="O42" s="77">
        <f t="shared" si="19"/>
        <v>1750</v>
      </c>
      <c r="P42" s="78"/>
      <c r="Q42" s="72">
        <v>21000</v>
      </c>
    </row>
    <row r="43" spans="1:17" ht="15">
      <c r="A43" s="81" t="s">
        <v>78</v>
      </c>
      <c r="B43" s="82"/>
      <c r="C43" s="83"/>
      <c r="D43" s="77">
        <f aca="true" t="shared" si="20" ref="D43:D47">SUM(Q43/12)</f>
        <v>1750</v>
      </c>
      <c r="E43" s="77">
        <f aca="true" t="shared" si="21" ref="E43:E47">SUM(Q43/12)</f>
        <v>1750</v>
      </c>
      <c r="F43" s="77">
        <f aca="true" t="shared" si="22" ref="F43:F47">SUM(Q43/12)</f>
        <v>1750</v>
      </c>
      <c r="G43" s="77">
        <f aca="true" t="shared" si="23" ref="G43:G47">SUM(Q43/12)</f>
        <v>1750</v>
      </c>
      <c r="H43" s="77">
        <f aca="true" t="shared" si="24" ref="H43:H47">SUM(Q43/12)</f>
        <v>1750</v>
      </c>
      <c r="I43" s="77">
        <f aca="true" t="shared" si="25" ref="I43:I47">SUM(Q43/12)</f>
        <v>1750</v>
      </c>
      <c r="J43" s="77">
        <f aca="true" t="shared" si="26" ref="J43:J47">SUM(Q43/12)</f>
        <v>1750</v>
      </c>
      <c r="K43" s="77">
        <f aca="true" t="shared" si="27" ref="K43:K47">SUM(Q43/12)</f>
        <v>1750</v>
      </c>
      <c r="L43" s="77">
        <f aca="true" t="shared" si="28" ref="L43:L47">SUM(Q43/12)</f>
        <v>1750</v>
      </c>
      <c r="M43" s="77">
        <f aca="true" t="shared" si="29" ref="M43:M47">SUM(Q43/12)</f>
        <v>1750</v>
      </c>
      <c r="N43" s="77">
        <f aca="true" t="shared" si="30" ref="N43:N47">SUM(Q43/12)</f>
        <v>1750</v>
      </c>
      <c r="O43" s="77">
        <f aca="true" t="shared" si="31" ref="O43:O47">SUM(Q43/12)</f>
        <v>1750</v>
      </c>
      <c r="P43" s="78"/>
      <c r="Q43" s="72">
        <v>21000</v>
      </c>
    </row>
    <row r="44" spans="1:17" ht="15">
      <c r="A44" s="81" t="s">
        <v>79</v>
      </c>
      <c r="B44" s="82"/>
      <c r="C44" s="83"/>
      <c r="D44" s="77">
        <f aca="true" t="shared" si="32" ref="D44:D45">SUM(Q44/12)</f>
        <v>1750</v>
      </c>
      <c r="E44" s="77">
        <f aca="true" t="shared" si="33" ref="E44:E45">SUM(Q44/12)</f>
        <v>1750</v>
      </c>
      <c r="F44" s="77">
        <f aca="true" t="shared" si="34" ref="F44:F45">SUM(Q44/12)</f>
        <v>1750</v>
      </c>
      <c r="G44" s="77">
        <f aca="true" t="shared" si="35" ref="G44:G45">SUM(Q44/12)</f>
        <v>1750</v>
      </c>
      <c r="H44" s="77">
        <f aca="true" t="shared" si="36" ref="H44:H45">SUM(Q44/12)</f>
        <v>1750</v>
      </c>
      <c r="I44" s="77">
        <f aca="true" t="shared" si="37" ref="I44:I45">SUM(Q44/12)</f>
        <v>1750</v>
      </c>
      <c r="J44" s="77">
        <f aca="true" t="shared" si="38" ref="J44:J45">SUM(Q44/12)</f>
        <v>1750</v>
      </c>
      <c r="K44" s="77">
        <f aca="true" t="shared" si="39" ref="K44:K45">SUM(Q44/12)</f>
        <v>1750</v>
      </c>
      <c r="L44" s="77">
        <f aca="true" t="shared" si="40" ref="L44:L45">SUM(Q44/12)</f>
        <v>1750</v>
      </c>
      <c r="M44" s="77">
        <f aca="true" t="shared" si="41" ref="M44:M45">SUM(Q44/12)</f>
        <v>1750</v>
      </c>
      <c r="N44" s="77">
        <f aca="true" t="shared" si="42" ref="N44:N45">SUM(Q44/12)</f>
        <v>1750</v>
      </c>
      <c r="O44" s="77">
        <f aca="true" t="shared" si="43" ref="O44:O45">SUM(Q44/12)</f>
        <v>1750</v>
      </c>
      <c r="P44" s="78"/>
      <c r="Q44" s="72">
        <v>21000</v>
      </c>
    </row>
    <row r="45" spans="1:17" ht="15">
      <c r="A45" s="81" t="s">
        <v>80</v>
      </c>
      <c r="B45" s="82"/>
      <c r="C45" s="83"/>
      <c r="D45" s="77">
        <f t="shared" si="32"/>
        <v>1750</v>
      </c>
      <c r="E45" s="77">
        <f t="shared" si="33"/>
        <v>1750</v>
      </c>
      <c r="F45" s="77">
        <f t="shared" si="34"/>
        <v>1750</v>
      </c>
      <c r="G45" s="77">
        <f t="shared" si="35"/>
        <v>1750</v>
      </c>
      <c r="H45" s="77">
        <f t="shared" si="36"/>
        <v>1750</v>
      </c>
      <c r="I45" s="77">
        <f t="shared" si="37"/>
        <v>1750</v>
      </c>
      <c r="J45" s="77">
        <f t="shared" si="38"/>
        <v>1750</v>
      </c>
      <c r="K45" s="77">
        <f t="shared" si="39"/>
        <v>1750</v>
      </c>
      <c r="L45" s="77">
        <f t="shared" si="40"/>
        <v>1750</v>
      </c>
      <c r="M45" s="77">
        <f t="shared" si="41"/>
        <v>1750</v>
      </c>
      <c r="N45" s="77">
        <f t="shared" si="42"/>
        <v>1750</v>
      </c>
      <c r="O45" s="77">
        <f t="shared" si="43"/>
        <v>1750</v>
      </c>
      <c r="P45" s="78"/>
      <c r="Q45" s="72">
        <v>21000</v>
      </c>
    </row>
    <row r="46" spans="1:17" ht="15">
      <c r="A46" s="81" t="s">
        <v>81</v>
      </c>
      <c r="B46" s="82"/>
      <c r="C46" s="83"/>
      <c r="D46" s="77">
        <f t="shared" si="20"/>
        <v>1750</v>
      </c>
      <c r="E46" s="77">
        <f t="shared" si="21"/>
        <v>1750</v>
      </c>
      <c r="F46" s="77">
        <f t="shared" si="22"/>
        <v>1750</v>
      </c>
      <c r="G46" s="77">
        <f t="shared" si="23"/>
        <v>1750</v>
      </c>
      <c r="H46" s="77">
        <f t="shared" si="24"/>
        <v>1750</v>
      </c>
      <c r="I46" s="77">
        <f t="shared" si="25"/>
        <v>1750</v>
      </c>
      <c r="J46" s="77">
        <f t="shared" si="26"/>
        <v>1750</v>
      </c>
      <c r="K46" s="77">
        <f t="shared" si="27"/>
        <v>1750</v>
      </c>
      <c r="L46" s="77">
        <f t="shared" si="28"/>
        <v>1750</v>
      </c>
      <c r="M46" s="77">
        <f t="shared" si="29"/>
        <v>1750</v>
      </c>
      <c r="N46" s="77">
        <f t="shared" si="30"/>
        <v>1750</v>
      </c>
      <c r="O46" s="77">
        <f t="shared" si="31"/>
        <v>1750</v>
      </c>
      <c r="P46" s="78"/>
      <c r="Q46" s="72">
        <v>21000</v>
      </c>
    </row>
    <row r="47" spans="1:17" ht="15">
      <c r="A47" s="81" t="s">
        <v>53</v>
      </c>
      <c r="B47" s="82"/>
      <c r="C47" s="83"/>
      <c r="D47" s="77">
        <f t="shared" si="20"/>
        <v>2083.3333333333335</v>
      </c>
      <c r="E47" s="77">
        <f t="shared" si="21"/>
        <v>2083.3333333333335</v>
      </c>
      <c r="F47" s="77">
        <f t="shared" si="22"/>
        <v>2083.3333333333335</v>
      </c>
      <c r="G47" s="77">
        <f t="shared" si="23"/>
        <v>2083.3333333333335</v>
      </c>
      <c r="H47" s="77">
        <f t="shared" si="24"/>
        <v>2083.3333333333335</v>
      </c>
      <c r="I47" s="77">
        <f t="shared" si="25"/>
        <v>2083.3333333333335</v>
      </c>
      <c r="J47" s="77">
        <f t="shared" si="26"/>
        <v>2083.3333333333335</v>
      </c>
      <c r="K47" s="77">
        <f t="shared" si="27"/>
        <v>2083.3333333333335</v>
      </c>
      <c r="L47" s="77">
        <f t="shared" si="28"/>
        <v>2083.3333333333335</v>
      </c>
      <c r="M47" s="77">
        <f t="shared" si="29"/>
        <v>2083.3333333333335</v>
      </c>
      <c r="N47" s="77">
        <f t="shared" si="30"/>
        <v>2083.3333333333335</v>
      </c>
      <c r="O47" s="77">
        <f t="shared" si="31"/>
        <v>2083.3333333333335</v>
      </c>
      <c r="P47" s="78"/>
      <c r="Q47" s="72">
        <v>25000</v>
      </c>
    </row>
    <row r="48" spans="1:17" ht="15">
      <c r="A48" s="81" t="s">
        <v>75</v>
      </c>
      <c r="B48" s="82"/>
      <c r="C48" s="83"/>
      <c r="D48" s="77">
        <f t="shared" si="8"/>
        <v>1833.3333333333333</v>
      </c>
      <c r="E48" s="77">
        <f t="shared" si="9"/>
        <v>1833.3333333333333</v>
      </c>
      <c r="F48" s="77">
        <f t="shared" si="10"/>
        <v>1833.3333333333333</v>
      </c>
      <c r="G48" s="77">
        <f t="shared" si="11"/>
        <v>1833.3333333333333</v>
      </c>
      <c r="H48" s="77">
        <f t="shared" si="12"/>
        <v>1833.3333333333333</v>
      </c>
      <c r="I48" s="77">
        <f t="shared" si="13"/>
        <v>1833.3333333333333</v>
      </c>
      <c r="J48" s="77">
        <f t="shared" si="14"/>
        <v>1833.3333333333333</v>
      </c>
      <c r="K48" s="77">
        <f t="shared" si="15"/>
        <v>1833.3333333333333</v>
      </c>
      <c r="L48" s="77">
        <f t="shared" si="16"/>
        <v>1833.3333333333333</v>
      </c>
      <c r="M48" s="77">
        <f t="shared" si="17"/>
        <v>1833.3333333333333</v>
      </c>
      <c r="N48" s="77">
        <f t="shared" si="18"/>
        <v>1833.3333333333333</v>
      </c>
      <c r="O48" s="77">
        <f t="shared" si="19"/>
        <v>1833.3333333333333</v>
      </c>
      <c r="P48" s="78"/>
      <c r="Q48" s="72">
        <v>22000</v>
      </c>
    </row>
    <row r="49" spans="1:17" ht="15">
      <c r="A49" s="81" t="s">
        <v>76</v>
      </c>
      <c r="B49" s="82"/>
      <c r="C49" s="83"/>
      <c r="D49" s="77">
        <f aca="true" t="shared" si="44" ref="D49">SUM(Q49/12)</f>
        <v>1833.3333333333333</v>
      </c>
      <c r="E49" s="77">
        <f aca="true" t="shared" si="45" ref="E49">SUM(Q49/12)</f>
        <v>1833.3333333333333</v>
      </c>
      <c r="F49" s="77">
        <f aca="true" t="shared" si="46" ref="F49:F50">SUM(Q49/12)</f>
        <v>1833.3333333333333</v>
      </c>
      <c r="G49" s="77">
        <f aca="true" t="shared" si="47" ref="G49:G51">SUM(Q49/12)</f>
        <v>1833.3333333333333</v>
      </c>
      <c r="H49" s="77">
        <f aca="true" t="shared" si="48" ref="H49:H52">SUM(Q49/12)</f>
        <v>1833.3333333333333</v>
      </c>
      <c r="I49" s="77">
        <f aca="true" t="shared" si="49" ref="I49:I52">SUM(Q49/12)</f>
        <v>1833.3333333333333</v>
      </c>
      <c r="J49" s="77">
        <f aca="true" t="shared" si="50" ref="J49:J52">SUM(Q49/12)</f>
        <v>1833.3333333333333</v>
      </c>
      <c r="K49" s="77">
        <f aca="true" t="shared" si="51" ref="K49:K52">SUM(Q49/12)</f>
        <v>1833.3333333333333</v>
      </c>
      <c r="L49" s="77">
        <f aca="true" t="shared" si="52" ref="L49:L52">SUM(Q49/12)</f>
        <v>1833.3333333333333</v>
      </c>
      <c r="M49" s="77">
        <f aca="true" t="shared" si="53" ref="M49:M52">SUM(Q49/12)</f>
        <v>1833.3333333333333</v>
      </c>
      <c r="N49" s="77">
        <f aca="true" t="shared" si="54" ref="N49:N52">SUM(Q49/12)</f>
        <v>1833.3333333333333</v>
      </c>
      <c r="O49" s="77">
        <f aca="true" t="shared" si="55" ref="O49:O52">SUM(Q49/12)</f>
        <v>1833.3333333333333</v>
      </c>
      <c r="P49" s="78"/>
      <c r="Q49" s="72">
        <v>22000</v>
      </c>
    </row>
    <row r="50" spans="1:17" ht="15">
      <c r="A50" s="81" t="s">
        <v>82</v>
      </c>
      <c r="B50" s="82"/>
      <c r="C50" s="83"/>
      <c r="D50" s="77"/>
      <c r="E50" s="77"/>
      <c r="F50" s="77">
        <f t="shared" si="46"/>
        <v>1750</v>
      </c>
      <c r="G50" s="77">
        <f t="shared" si="47"/>
        <v>1750</v>
      </c>
      <c r="H50" s="77">
        <f t="shared" si="48"/>
        <v>1750</v>
      </c>
      <c r="I50" s="77">
        <f t="shared" si="49"/>
        <v>1750</v>
      </c>
      <c r="J50" s="77">
        <f t="shared" si="50"/>
        <v>1750</v>
      </c>
      <c r="K50" s="77">
        <f t="shared" si="51"/>
        <v>1750</v>
      </c>
      <c r="L50" s="77">
        <f t="shared" si="52"/>
        <v>1750</v>
      </c>
      <c r="M50" s="77">
        <f t="shared" si="53"/>
        <v>1750</v>
      </c>
      <c r="N50" s="77">
        <f t="shared" si="54"/>
        <v>1750</v>
      </c>
      <c r="O50" s="77">
        <f t="shared" si="55"/>
        <v>1750</v>
      </c>
      <c r="P50" s="78"/>
      <c r="Q50" s="72">
        <v>21000</v>
      </c>
    </row>
    <row r="51" spans="1:17" ht="15">
      <c r="A51" s="81" t="s">
        <v>83</v>
      </c>
      <c r="B51" s="82"/>
      <c r="C51" s="83"/>
      <c r="D51" s="77"/>
      <c r="E51" s="77"/>
      <c r="F51" s="77"/>
      <c r="G51" s="77">
        <f t="shared" si="47"/>
        <v>1750</v>
      </c>
      <c r="H51" s="77">
        <f t="shared" si="48"/>
        <v>1750</v>
      </c>
      <c r="I51" s="77">
        <f t="shared" si="49"/>
        <v>1750</v>
      </c>
      <c r="J51" s="77">
        <f t="shared" si="50"/>
        <v>1750</v>
      </c>
      <c r="K51" s="77">
        <f t="shared" si="51"/>
        <v>1750</v>
      </c>
      <c r="L51" s="77">
        <f t="shared" si="52"/>
        <v>1750</v>
      </c>
      <c r="M51" s="77">
        <f t="shared" si="53"/>
        <v>1750</v>
      </c>
      <c r="N51" s="77">
        <f t="shared" si="54"/>
        <v>1750</v>
      </c>
      <c r="O51" s="77">
        <f t="shared" si="55"/>
        <v>1750</v>
      </c>
      <c r="P51" s="78"/>
      <c r="Q51" s="72">
        <v>21000</v>
      </c>
    </row>
    <row r="52" spans="1:17" ht="15">
      <c r="A52" s="81" t="s">
        <v>84</v>
      </c>
      <c r="B52" s="82"/>
      <c r="C52" s="83"/>
      <c r="D52" s="77"/>
      <c r="E52" s="77"/>
      <c r="F52" s="77"/>
      <c r="G52" s="77"/>
      <c r="H52" s="77">
        <f t="shared" si="48"/>
        <v>1750</v>
      </c>
      <c r="I52" s="77">
        <f t="shared" si="49"/>
        <v>1750</v>
      </c>
      <c r="J52" s="77">
        <f t="shared" si="50"/>
        <v>1750</v>
      </c>
      <c r="K52" s="77">
        <f t="shared" si="51"/>
        <v>1750</v>
      </c>
      <c r="L52" s="77">
        <f t="shared" si="52"/>
        <v>1750</v>
      </c>
      <c r="M52" s="77">
        <f t="shared" si="53"/>
        <v>1750</v>
      </c>
      <c r="N52" s="77">
        <f t="shared" si="54"/>
        <v>1750</v>
      </c>
      <c r="O52" s="77">
        <f t="shared" si="55"/>
        <v>1750</v>
      </c>
      <c r="P52" s="78"/>
      <c r="Q52" s="72">
        <v>21000</v>
      </c>
    </row>
    <row r="53" spans="1:17" ht="15">
      <c r="A53" s="81" t="s">
        <v>52</v>
      </c>
      <c r="B53" s="82"/>
      <c r="C53" s="83"/>
      <c r="D53" s="77">
        <f aca="true" t="shared" si="56" ref="D53">SUM(Q53/12)</f>
        <v>0</v>
      </c>
      <c r="E53" s="77">
        <f aca="true" t="shared" si="57" ref="E53">SUM(Q53/12)</f>
        <v>0</v>
      </c>
      <c r="F53" s="77">
        <f aca="true" t="shared" si="58" ref="F53">SUM(Q53/12)</f>
        <v>0</v>
      </c>
      <c r="G53" s="77">
        <f aca="true" t="shared" si="59" ref="G53">SUM(Q53/12)</f>
        <v>0</v>
      </c>
      <c r="H53" s="77">
        <f aca="true" t="shared" si="60" ref="H53">SUM(Q53/12)</f>
        <v>0</v>
      </c>
      <c r="I53" s="77">
        <f aca="true" t="shared" si="61" ref="I53">SUM(Q53/12)</f>
        <v>0</v>
      </c>
      <c r="J53" s="77">
        <f aca="true" t="shared" si="62" ref="J53">SUM(Q53/12)</f>
        <v>0</v>
      </c>
      <c r="K53" s="77">
        <f aca="true" t="shared" si="63" ref="K53">SUM(Q53/12)</f>
        <v>0</v>
      </c>
      <c r="L53" s="77">
        <f aca="true" t="shared" si="64" ref="L53">SUM(Q53/12)</f>
        <v>0</v>
      </c>
      <c r="M53" s="77">
        <f aca="true" t="shared" si="65" ref="M53">SUM(Q53/12)</f>
        <v>0</v>
      </c>
      <c r="N53" s="77">
        <f aca="true" t="shared" si="66" ref="N53">SUM(Q53/12)</f>
        <v>0</v>
      </c>
      <c r="O53" s="77">
        <f aca="true" t="shared" si="67" ref="O53">SUM(Q53/12)</f>
        <v>0</v>
      </c>
      <c r="P53" s="78"/>
      <c r="Q53" s="72"/>
    </row>
    <row r="54" spans="1:17" ht="15">
      <c r="A54" s="81"/>
      <c r="B54" s="82"/>
      <c r="C54" s="83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82"/>
    </row>
    <row r="55" spans="1:17" ht="15">
      <c r="A55" s="81" t="s">
        <v>127</v>
      </c>
      <c r="B55" s="82"/>
      <c r="C55" s="83"/>
      <c r="D55" s="77">
        <f>SUM(D39:D54)</f>
        <v>21583.333333333332</v>
      </c>
      <c r="E55" s="77">
        <f aca="true" t="shared" si="68" ref="E55:O55">SUM(E39:E54)</f>
        <v>21583.333333333332</v>
      </c>
      <c r="F55" s="77">
        <f t="shared" si="68"/>
        <v>23333.333333333332</v>
      </c>
      <c r="G55" s="77">
        <f t="shared" si="68"/>
        <v>25083.333333333332</v>
      </c>
      <c r="H55" s="77">
        <f t="shared" si="68"/>
        <v>26833.333333333332</v>
      </c>
      <c r="I55" s="77">
        <f t="shared" si="68"/>
        <v>26833.333333333332</v>
      </c>
      <c r="J55" s="77">
        <f t="shared" si="68"/>
        <v>26833.333333333332</v>
      </c>
      <c r="K55" s="77">
        <f t="shared" si="68"/>
        <v>26833.333333333332</v>
      </c>
      <c r="L55" s="77">
        <f t="shared" si="68"/>
        <v>26833.333333333332</v>
      </c>
      <c r="M55" s="77">
        <f t="shared" si="68"/>
        <v>26833.333333333332</v>
      </c>
      <c r="N55" s="77">
        <f t="shared" si="68"/>
        <v>26833.333333333332</v>
      </c>
      <c r="O55" s="77">
        <f t="shared" si="68"/>
        <v>26833.333333333332</v>
      </c>
      <c r="P55" s="83"/>
      <c r="Q55" s="72">
        <f>SUM(D55:P55)</f>
        <v>306250</v>
      </c>
    </row>
    <row r="56" spans="1:17" ht="15">
      <c r="A56" s="81"/>
      <c r="B56" s="82"/>
      <c r="C56" s="83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83"/>
      <c r="Q56" s="72"/>
    </row>
    <row r="57" spans="1:17" ht="14.25">
      <c r="A57" s="255" t="s">
        <v>128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ht="15">
      <c r="A58" s="152" t="s">
        <v>135</v>
      </c>
      <c r="B58" s="85"/>
      <c r="C58" s="84"/>
      <c r="D58" s="82">
        <v>680000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4"/>
      <c r="Q58" s="85"/>
    </row>
    <row r="59" spans="1:17" ht="15">
      <c r="A59" s="152" t="s">
        <v>136</v>
      </c>
      <c r="B59" s="85"/>
      <c r="C59" s="84"/>
      <c r="D59" s="82">
        <v>680000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4"/>
      <c r="Q59" s="85"/>
    </row>
    <row r="60" spans="1:17" ht="15">
      <c r="A60" s="153" t="s">
        <v>137</v>
      </c>
      <c r="B60" s="85"/>
      <c r="C60" s="84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4"/>
      <c r="Q60" s="85"/>
    </row>
    <row r="61" spans="1:17" ht="15">
      <c r="A61" s="153" t="s">
        <v>138</v>
      </c>
      <c r="B61" s="85"/>
      <c r="C61" s="84"/>
      <c r="D61" s="82">
        <f>SUM(D72:D75)</f>
        <v>680000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4"/>
      <c r="Q61" s="85"/>
    </row>
    <row r="62" spans="1:17" ht="15">
      <c r="A62" s="152"/>
      <c r="B62" s="85"/>
      <c r="C62" s="84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4"/>
      <c r="Q62" s="85"/>
    </row>
    <row r="63" spans="1:17" ht="15">
      <c r="A63" s="152" t="s">
        <v>129</v>
      </c>
      <c r="B63" s="85"/>
      <c r="C63" s="84"/>
      <c r="D63" s="167">
        <v>655000</v>
      </c>
      <c r="E63" s="167">
        <v>655000</v>
      </c>
      <c r="F63" s="167">
        <v>655000</v>
      </c>
      <c r="G63" s="167">
        <v>655000</v>
      </c>
      <c r="H63" s="167">
        <v>655000</v>
      </c>
      <c r="I63" s="167">
        <v>655000</v>
      </c>
      <c r="J63" s="167">
        <v>655000</v>
      </c>
      <c r="K63" s="167">
        <v>655000</v>
      </c>
      <c r="L63" s="167">
        <v>655000</v>
      </c>
      <c r="M63" s="167">
        <v>655000</v>
      </c>
      <c r="N63" s="167">
        <v>655000</v>
      </c>
      <c r="O63" s="167">
        <v>655000</v>
      </c>
      <c r="P63" s="84"/>
      <c r="Q63" s="85"/>
    </row>
    <row r="64" spans="1:17" ht="15">
      <c r="A64" s="152" t="s">
        <v>130</v>
      </c>
      <c r="B64" s="85"/>
      <c r="C64" s="84"/>
      <c r="D64" s="167">
        <v>5458.333333333333</v>
      </c>
      <c r="E64" s="167">
        <v>5458.333333333333</v>
      </c>
      <c r="F64" s="167">
        <v>5458.333333333333</v>
      </c>
      <c r="G64" s="167">
        <v>5458.333333333333</v>
      </c>
      <c r="H64" s="167">
        <v>5458.333333333333</v>
      </c>
      <c r="I64" s="167">
        <v>5458.333333333333</v>
      </c>
      <c r="J64" s="167">
        <v>5458.333333333333</v>
      </c>
      <c r="K64" s="167">
        <v>5458.333333333333</v>
      </c>
      <c r="L64" s="167">
        <v>5458.333333333333</v>
      </c>
      <c r="M64" s="167">
        <v>5458.333333333333</v>
      </c>
      <c r="N64" s="167">
        <v>5458.333333333333</v>
      </c>
      <c r="O64" s="167">
        <v>5458.333333333333</v>
      </c>
      <c r="P64" s="84"/>
      <c r="Q64" s="85"/>
    </row>
    <row r="65" spans="1:17" ht="15">
      <c r="A65" s="152" t="s">
        <v>131</v>
      </c>
      <c r="B65" s="85"/>
      <c r="C65" s="84"/>
      <c r="D65" s="167">
        <v>649541.6666666666</v>
      </c>
      <c r="E65" s="167">
        <v>644083.3333333333</v>
      </c>
      <c r="F65" s="167">
        <v>638624.9999999999</v>
      </c>
      <c r="G65" s="167">
        <v>633166.6666666665</v>
      </c>
      <c r="H65" s="167">
        <v>627708.3333333331</v>
      </c>
      <c r="I65" s="167">
        <v>622249.9999999998</v>
      </c>
      <c r="J65" s="167">
        <v>616791.6666666664</v>
      </c>
      <c r="K65" s="167">
        <v>611333.333333333</v>
      </c>
      <c r="L65" s="167">
        <v>605874.9999999997</v>
      </c>
      <c r="M65" s="167">
        <v>600416.6666666663</v>
      </c>
      <c r="N65" s="167">
        <v>594958.3333333329</v>
      </c>
      <c r="O65" s="167">
        <v>589499.9999999995</v>
      </c>
      <c r="P65" s="84"/>
      <c r="Q65" s="85"/>
    </row>
    <row r="66" spans="1:17" ht="15">
      <c r="A66" s="152" t="s">
        <v>132</v>
      </c>
      <c r="B66" s="85"/>
      <c r="C66" s="84"/>
      <c r="D66" s="167">
        <v>17500</v>
      </c>
      <c r="E66" s="167">
        <v>17500</v>
      </c>
      <c r="F66" s="167">
        <v>17500</v>
      </c>
      <c r="G66" s="167">
        <v>17500</v>
      </c>
      <c r="H66" s="167">
        <v>17500</v>
      </c>
      <c r="I66" s="167">
        <v>17500</v>
      </c>
      <c r="J66" s="167">
        <v>17500</v>
      </c>
      <c r="K66" s="167">
        <v>17500</v>
      </c>
      <c r="L66" s="167">
        <v>17500</v>
      </c>
      <c r="M66" s="167">
        <v>17500</v>
      </c>
      <c r="N66" s="167">
        <v>17500</v>
      </c>
      <c r="O66" s="167">
        <v>17500</v>
      </c>
      <c r="P66" s="84"/>
      <c r="Q66" s="85"/>
    </row>
    <row r="67" spans="1:17" ht="15">
      <c r="A67" s="152" t="s">
        <v>133</v>
      </c>
      <c r="B67" s="85"/>
      <c r="C67" s="84"/>
      <c r="D67" s="167">
        <v>291.6666666666667</v>
      </c>
      <c r="E67" s="167">
        <v>291.6666666666667</v>
      </c>
      <c r="F67" s="167">
        <v>291.6666666666667</v>
      </c>
      <c r="G67" s="167">
        <v>291.6666666666667</v>
      </c>
      <c r="H67" s="167">
        <v>291.6666666666667</v>
      </c>
      <c r="I67" s="167">
        <v>291.6666666666667</v>
      </c>
      <c r="J67" s="167">
        <v>291.6666666666667</v>
      </c>
      <c r="K67" s="167">
        <v>291.6666666666667</v>
      </c>
      <c r="L67" s="167">
        <v>291.6666666666667</v>
      </c>
      <c r="M67" s="167">
        <v>291.6666666666667</v>
      </c>
      <c r="N67" s="167">
        <v>291.6666666666667</v>
      </c>
      <c r="O67" s="167">
        <v>291.6666666666667</v>
      </c>
      <c r="P67" s="84"/>
      <c r="Q67" s="85"/>
    </row>
    <row r="68" spans="1:17" ht="15">
      <c r="A68" s="152" t="s">
        <v>134</v>
      </c>
      <c r="B68" s="85"/>
      <c r="C68" s="84"/>
      <c r="D68" s="167">
        <v>17208.333333333332</v>
      </c>
      <c r="E68" s="167">
        <v>16916.666666666664</v>
      </c>
      <c r="F68" s="167">
        <v>16624.999999999996</v>
      </c>
      <c r="G68" s="167">
        <v>16333.33333333333</v>
      </c>
      <c r="H68" s="167">
        <v>16041.666666666664</v>
      </c>
      <c r="I68" s="167">
        <v>15749.999999999998</v>
      </c>
      <c r="J68" s="167">
        <v>15458.333333333332</v>
      </c>
      <c r="K68" s="167">
        <v>15166.666666666666</v>
      </c>
      <c r="L68" s="167">
        <v>14875</v>
      </c>
      <c r="M68" s="167">
        <v>14583.333333333334</v>
      </c>
      <c r="N68" s="167">
        <v>14291.666666666668</v>
      </c>
      <c r="O68" s="167">
        <v>14000.000000000002</v>
      </c>
      <c r="P68" s="84"/>
      <c r="Q68" s="85"/>
    </row>
    <row r="69" spans="1:17" ht="15">
      <c r="A69" s="152"/>
      <c r="B69" s="85"/>
      <c r="C69" s="84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84"/>
      <c r="Q69" s="85"/>
    </row>
    <row r="70" spans="1:17" ht="15">
      <c r="A70" s="154" t="s">
        <v>93</v>
      </c>
      <c r="B70" s="85"/>
      <c r="C70" s="84"/>
      <c r="D70" s="167">
        <v>5750</v>
      </c>
      <c r="E70" s="167">
        <v>5750</v>
      </c>
      <c r="F70" s="167">
        <v>5750</v>
      </c>
      <c r="G70" s="167">
        <v>5750</v>
      </c>
      <c r="H70" s="167">
        <v>5750</v>
      </c>
      <c r="I70" s="167">
        <v>5750</v>
      </c>
      <c r="J70" s="167">
        <v>5750</v>
      </c>
      <c r="K70" s="167">
        <v>5750</v>
      </c>
      <c r="L70" s="167">
        <v>5750</v>
      </c>
      <c r="M70" s="167">
        <v>5750</v>
      </c>
      <c r="N70" s="167">
        <v>5750</v>
      </c>
      <c r="O70" s="167">
        <v>5750</v>
      </c>
      <c r="P70" s="84"/>
      <c r="Q70" s="85"/>
    </row>
    <row r="71" spans="1:17" ht="15">
      <c r="A71" s="152"/>
      <c r="B71" s="85"/>
      <c r="C71" s="84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84"/>
      <c r="Q71" s="85"/>
    </row>
    <row r="72" spans="1:17" ht="15">
      <c r="A72" s="154" t="s">
        <v>160</v>
      </c>
      <c r="B72" s="167"/>
      <c r="C72" s="84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84"/>
      <c r="Q72" s="85"/>
    </row>
    <row r="73" spans="1:17" ht="15">
      <c r="A73" s="154" t="s">
        <v>161</v>
      </c>
      <c r="B73" s="167"/>
      <c r="C73" s="84"/>
      <c r="D73" s="167">
        <v>655000</v>
      </c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84"/>
      <c r="Q73" s="85"/>
    </row>
    <row r="74" spans="1:17" ht="15">
      <c r="A74" s="154" t="s">
        <v>162</v>
      </c>
      <c r="B74" s="167"/>
      <c r="C74" s="84"/>
      <c r="D74" s="167">
        <v>7500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84"/>
      <c r="Q74" s="85"/>
    </row>
    <row r="75" spans="1:17" ht="15">
      <c r="A75" s="154" t="s">
        <v>163</v>
      </c>
      <c r="B75" s="167"/>
      <c r="C75" s="84"/>
      <c r="D75" s="167">
        <v>17500</v>
      </c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84"/>
      <c r="Q75" s="85"/>
    </row>
    <row r="76" spans="1:17" ht="15">
      <c r="A76" s="176"/>
      <c r="B76" s="85"/>
      <c r="C76" s="84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4"/>
      <c r="Q76" s="85"/>
    </row>
    <row r="77" spans="1:17" ht="15">
      <c r="A77" s="346"/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</row>
  </sheetData>
  <mergeCells count="5">
    <mergeCell ref="A77:Q77"/>
    <mergeCell ref="A1:B1"/>
    <mergeCell ref="A2:B2"/>
    <mergeCell ref="M1:Q2"/>
    <mergeCell ref="D3:Q3"/>
  </mergeCells>
  <printOptions/>
  <pageMargins left="0.25" right="0.25" top="0.75" bottom="0.75" header="0.3" footer="0.3"/>
  <pageSetup horizontalDpi="600" verticalDpi="600" orientation="landscape" scale="70" r:id="rId1"/>
  <headerFooter differentFirst="1">
    <oddFooter>&amp;R5</oddFooter>
    <firstFooter>&amp;R4</firstFooter>
  </headerFooter>
  <rowBreaks count="1" manualBreakCount="1">
    <brk id="37" max="16383" man="1"/>
  </rowBreaks>
  <ignoredErrors>
    <ignoredError sqref="D20:O21 D31" unlockedFormula="1"/>
    <ignoredError sqref="D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075B-DA68-4943-AECF-176B2815C13B}">
  <sheetPr>
    <pageSetUpPr fitToPage="1"/>
  </sheetPr>
  <dimension ref="A1:F56"/>
  <sheetViews>
    <sheetView workbookViewId="0" topLeftCell="A1">
      <selection activeCell="D1" sqref="D1:F2"/>
    </sheetView>
  </sheetViews>
  <sheetFormatPr defaultColWidth="9.140625" defaultRowHeight="15"/>
  <cols>
    <col min="1" max="1" width="46.7109375" style="178" bestFit="1" customWidth="1"/>
    <col min="2" max="2" width="6.28125" style="178" bestFit="1" customWidth="1"/>
    <col min="3" max="3" width="0.5625" style="178" customWidth="1"/>
    <col min="4" max="6" width="40.7109375" style="178" customWidth="1"/>
    <col min="7" max="16384" width="9.140625" style="178" customWidth="1"/>
  </cols>
  <sheetData>
    <row r="1" spans="1:6" s="154" customFormat="1" ht="15" customHeight="1">
      <c r="A1" s="352" t="s">
        <v>242</v>
      </c>
      <c r="B1" s="352"/>
      <c r="C1" s="171"/>
      <c r="D1" s="355"/>
      <c r="E1" s="355"/>
      <c r="F1" s="355"/>
    </row>
    <row r="2" spans="1:6" s="154" customFormat="1" ht="15">
      <c r="A2" s="354" t="s">
        <v>224</v>
      </c>
      <c r="B2" s="354"/>
      <c r="C2" s="171"/>
      <c r="D2" s="355"/>
      <c r="E2" s="355"/>
      <c r="F2" s="355"/>
    </row>
    <row r="3" spans="1:6" s="154" customFormat="1" ht="18">
      <c r="A3" s="322"/>
      <c r="B3" s="322"/>
      <c r="C3" s="171"/>
      <c r="D3" s="323"/>
      <c r="E3" s="323"/>
      <c r="F3" s="323"/>
    </row>
    <row r="4" spans="1:6" s="154" customFormat="1" ht="15">
      <c r="A4" s="172"/>
      <c r="B4" s="51"/>
      <c r="C4" s="52"/>
      <c r="D4" s="276">
        <v>2018</v>
      </c>
      <c r="E4" s="276">
        <v>2019</v>
      </c>
      <c r="F4" s="276">
        <v>2020</v>
      </c>
    </row>
    <row r="5" spans="1:6" s="154" customFormat="1" ht="14.25">
      <c r="A5" s="260" t="s">
        <v>13</v>
      </c>
      <c r="B5" s="56"/>
      <c r="C5" s="57"/>
      <c r="D5" s="56"/>
      <c r="E5" s="56"/>
      <c r="F5" s="56"/>
    </row>
    <row r="6" spans="1:3" ht="14.25">
      <c r="A6" s="291" t="s">
        <v>207</v>
      </c>
      <c r="B6" s="277"/>
      <c r="C6" s="290"/>
    </row>
    <row r="7" spans="1:6" ht="15">
      <c r="A7" s="278" t="s">
        <v>222</v>
      </c>
      <c r="B7" s="277"/>
      <c r="C7" s="279"/>
      <c r="D7" s="39">
        <f>SUM('Sales Forcast'!$R$17)</f>
        <v>32586.494538876068</v>
      </c>
      <c r="E7" s="280">
        <v>61053</v>
      </c>
      <c r="F7" s="280">
        <v>83094</v>
      </c>
    </row>
    <row r="8" spans="1:6" ht="15">
      <c r="A8" s="278" t="s">
        <v>241</v>
      </c>
      <c r="B8" s="277"/>
      <c r="C8" s="279"/>
      <c r="D8" s="39">
        <f>'Sales Forcast'!$R$21</f>
        <v>254.58198858496928</v>
      </c>
      <c r="E8" s="280">
        <v>477</v>
      </c>
      <c r="F8" s="178">
        <v>649</v>
      </c>
    </row>
    <row r="9" spans="1:5" ht="14.25">
      <c r="A9" s="291" t="s">
        <v>208</v>
      </c>
      <c r="B9" s="277"/>
      <c r="C9" s="279"/>
      <c r="D9" s="280"/>
      <c r="E9" s="277"/>
    </row>
    <row r="10" spans="1:6" ht="15">
      <c r="A10" s="281" t="s">
        <v>69</v>
      </c>
      <c r="B10" s="303">
        <f>D10/D14</f>
        <v>0.513620160820682</v>
      </c>
      <c r="C10" s="279"/>
      <c r="D10" s="307">
        <f>SUM('Sales Forcast'!$R$40)/1000</f>
        <v>1040.2220053581843</v>
      </c>
      <c r="E10" s="310">
        <f>1957416.48211402/1000</f>
        <v>1957.41648211402</v>
      </c>
      <c r="F10" s="309">
        <f>2162526.17546329/1000</f>
        <v>2162.5261754632897</v>
      </c>
    </row>
    <row r="11" spans="1:6" ht="15">
      <c r="A11" s="281" t="s">
        <v>86</v>
      </c>
      <c r="B11" s="303">
        <f>D11/D14</f>
        <v>0.43657713669757975</v>
      </c>
      <c r="C11" s="279"/>
      <c r="D11" s="307">
        <f>SUM('Sales Forcast'!$S$43)/1000</f>
        <v>884.1887045544569</v>
      </c>
      <c r="E11" s="310">
        <f>1299281.8716929/1000</f>
        <v>1299.2818716929</v>
      </c>
      <c r="F11" s="309">
        <f>1414675.15951299/1000</f>
        <v>1414.67515951299</v>
      </c>
    </row>
    <row r="12" spans="1:6" ht="15">
      <c r="A12" s="281" t="s">
        <v>223</v>
      </c>
      <c r="B12" s="303">
        <f>D12/D14</f>
        <v>0.049802702481738216</v>
      </c>
      <c r="C12" s="279"/>
      <c r="D12" s="307">
        <f>SUM('Sales Forcast'!$S$47)/1000</f>
        <v>100.86416188381965</v>
      </c>
      <c r="E12" s="310">
        <f>649640.935846449/1000</f>
        <v>649.640935846449</v>
      </c>
      <c r="F12" s="309">
        <f>884171.974695621/1000</f>
        <v>884.171974695621</v>
      </c>
    </row>
    <row r="13" spans="1:6" ht="15">
      <c r="A13" s="277"/>
      <c r="B13" s="301"/>
      <c r="C13" s="279"/>
      <c r="D13" s="307"/>
      <c r="E13" s="311"/>
      <c r="F13" s="309"/>
    </row>
    <row r="14" spans="1:6" ht="14.25">
      <c r="A14" s="292" t="s">
        <v>209</v>
      </c>
      <c r="B14" s="302"/>
      <c r="C14" s="279"/>
      <c r="D14" s="312">
        <f>SUM(D10:D12)</f>
        <v>2025.274871796461</v>
      </c>
      <c r="E14" s="313">
        <f>SUM(E10:E13)</f>
        <v>3906.3392896533687</v>
      </c>
      <c r="F14" s="314">
        <f>SUM(F10:F13)</f>
        <v>4461.373309671901</v>
      </c>
    </row>
    <row r="15" spans="1:6" ht="15">
      <c r="A15" s="277"/>
      <c r="B15" s="301"/>
      <c r="C15" s="279"/>
      <c r="D15" s="307"/>
      <c r="E15" s="311"/>
      <c r="F15" s="309"/>
    </row>
    <row r="16" spans="1:6" ht="15">
      <c r="A16" s="280" t="s">
        <v>210</v>
      </c>
      <c r="B16" s="301"/>
      <c r="C16" s="279"/>
      <c r="D16" s="307"/>
      <c r="E16" s="311"/>
      <c r="F16" s="309"/>
    </row>
    <row r="17" spans="1:6" ht="15">
      <c r="A17" s="281" t="s">
        <v>69</v>
      </c>
      <c r="B17" s="300"/>
      <c r="C17" s="279"/>
      <c r="D17" s="307">
        <f>SUM('Sales Forcast'!$R$52)/1000</f>
        <v>390.08325200931927</v>
      </c>
      <c r="E17" s="308">
        <f>524673.296204915/1000</f>
        <v>524.673296204915</v>
      </c>
      <c r="F17" s="309">
        <f>714088.966347418/1000</f>
        <v>714.088966347418</v>
      </c>
    </row>
    <row r="18" spans="1:6" ht="15">
      <c r="A18" s="281" t="s">
        <v>86</v>
      </c>
      <c r="B18" s="300"/>
      <c r="C18" s="279"/>
      <c r="D18" s="307">
        <f>SUM('Sales Forcast'!$S$55)/1000</f>
        <v>365.52245466058423</v>
      </c>
      <c r="E18" s="308">
        <f>649640.935846449/1000</f>
        <v>649.640935846449</v>
      </c>
      <c r="F18" s="309">
        <f>707337.579756497/1000</f>
        <v>707.337579756497</v>
      </c>
    </row>
    <row r="19" spans="1:6" ht="15">
      <c r="A19" s="281" t="s">
        <v>63</v>
      </c>
      <c r="B19" s="300"/>
      <c r="C19" s="279"/>
      <c r="D19" s="307">
        <f>SUM('Sales Forcast'!$S$59)/1000</f>
        <v>33.81520904858257</v>
      </c>
      <c r="E19" s="308">
        <f>324820.467923225/1000</f>
        <v>324.820467923225</v>
      </c>
      <c r="F19" s="309">
        <f>442085.98734781/1000</f>
        <v>442.08598734781003</v>
      </c>
    </row>
    <row r="20" spans="1:6" ht="15">
      <c r="A20" s="280"/>
      <c r="B20" s="277"/>
      <c r="C20" s="286"/>
      <c r="D20" s="307"/>
      <c r="E20" s="308"/>
      <c r="F20" s="309"/>
    </row>
    <row r="21" spans="1:6" ht="13.5" thickBot="1">
      <c r="A21" s="293" t="s">
        <v>87</v>
      </c>
      <c r="B21" s="293"/>
      <c r="C21" s="294"/>
      <c r="D21" s="315">
        <f>SUM(D17:D19)</f>
        <v>789.4209157184861</v>
      </c>
      <c r="E21" s="315">
        <f aca="true" t="shared" si="0" ref="E21:F21">SUM(E17:E19)</f>
        <v>1499.1346999745888</v>
      </c>
      <c r="F21" s="315">
        <f t="shared" si="0"/>
        <v>1863.512533451725</v>
      </c>
    </row>
    <row r="22" spans="1:5" ht="15">
      <c r="A22" s="277"/>
      <c r="B22" s="277"/>
      <c r="C22" s="286"/>
      <c r="D22" s="287"/>
      <c r="E22" s="280"/>
    </row>
    <row r="23" spans="1:6" ht="14.25">
      <c r="A23" s="292" t="s">
        <v>88</v>
      </c>
      <c r="B23" s="284"/>
      <c r="C23" s="286"/>
      <c r="D23" s="285">
        <f>D14-D21</f>
        <v>1235.853956077975</v>
      </c>
      <c r="E23" s="285">
        <f aca="true" t="shared" si="1" ref="E23:F23">E14-E21</f>
        <v>2407.20458967878</v>
      </c>
      <c r="F23" s="285">
        <f t="shared" si="1"/>
        <v>2597.8607762201755</v>
      </c>
    </row>
    <row r="24" spans="1:5" ht="13.5" thickBot="1">
      <c r="A24" s="277"/>
      <c r="B24" s="288"/>
      <c r="C24" s="286"/>
      <c r="D24" s="282"/>
      <c r="E24" s="277"/>
    </row>
    <row r="25" spans="1:6" ht="13.5" thickBot="1">
      <c r="A25" s="295" t="s">
        <v>211</v>
      </c>
      <c r="B25" s="296"/>
      <c r="C25" s="297"/>
      <c r="D25" s="298">
        <f>D23/D14</f>
        <v>0.6102154197873135</v>
      </c>
      <c r="E25" s="298">
        <f aca="true" t="shared" si="2" ref="E25:F25">E23/E14</f>
        <v>0.6162302890726076</v>
      </c>
      <c r="F25" s="299">
        <f t="shared" si="2"/>
        <v>0.5823006944046177</v>
      </c>
    </row>
    <row r="26" spans="1:5" ht="15">
      <c r="A26" s="277"/>
      <c r="B26" s="277"/>
      <c r="C26" s="286"/>
      <c r="D26" s="212"/>
      <c r="E26" s="277"/>
    </row>
    <row r="27" spans="1:5" ht="15">
      <c r="A27" s="277" t="s">
        <v>90</v>
      </c>
      <c r="B27" s="277"/>
      <c r="C27" s="286"/>
      <c r="D27" s="212"/>
      <c r="E27" s="277"/>
    </row>
    <row r="28" spans="1:6" ht="15">
      <c r="A28" s="278" t="s">
        <v>212</v>
      </c>
      <c r="B28" s="304"/>
      <c r="C28" s="305"/>
      <c r="D28" s="307">
        <f>SUM('Capital Flow'!$Q$9)/1000</f>
        <v>23.125</v>
      </c>
      <c r="E28" s="307">
        <f>125/1000</f>
        <v>0.125</v>
      </c>
      <c r="F28" s="307">
        <f>125/1000</f>
        <v>0.125</v>
      </c>
    </row>
    <row r="29" spans="1:6" ht="15">
      <c r="A29" s="278" t="s">
        <v>26</v>
      </c>
      <c r="B29" s="304"/>
      <c r="C29" s="305"/>
      <c r="D29" s="307">
        <f>SUM('Capital Flow'!Q10)/1000</f>
        <v>14.4</v>
      </c>
      <c r="E29" s="307">
        <f>14832/1000</f>
        <v>14.832</v>
      </c>
      <c r="F29" s="307">
        <f>15276.96/1000</f>
        <v>15.276959999999999</v>
      </c>
    </row>
    <row r="30" spans="1:6" ht="15">
      <c r="A30" s="278" t="s">
        <v>213</v>
      </c>
      <c r="B30" s="304"/>
      <c r="C30" s="305"/>
      <c r="D30" s="308">
        <f>SUM('Capital Flow'!Q11)/1000</f>
        <v>18</v>
      </c>
      <c r="E30" s="307">
        <f>18540/1000</f>
        <v>18.54</v>
      </c>
      <c r="F30" s="308">
        <f>19096.2/1000</f>
        <v>19.0962</v>
      </c>
    </row>
    <row r="31" spans="1:6" ht="15">
      <c r="A31" s="278" t="s">
        <v>16</v>
      </c>
      <c r="B31" s="304"/>
      <c r="C31" s="305"/>
      <c r="D31" s="308">
        <f>SUM('Capital Flow'!Q12)/1000</f>
        <v>10.8</v>
      </c>
      <c r="E31" s="307">
        <f>11124/1000</f>
        <v>11.124</v>
      </c>
      <c r="F31" s="308">
        <f>11457.72/1000</f>
        <v>11.45772</v>
      </c>
    </row>
    <row r="32" spans="1:6" ht="15">
      <c r="A32" s="278" t="s">
        <v>214</v>
      </c>
      <c r="B32" s="304"/>
      <c r="C32" s="305"/>
      <c r="D32" s="308">
        <v>7.2</v>
      </c>
      <c r="E32" s="308">
        <f>7416/1000</f>
        <v>7.416</v>
      </c>
      <c r="F32" s="309">
        <f>7638.48/1000</f>
        <v>7.6384799999999995</v>
      </c>
    </row>
    <row r="33" spans="1:6" ht="15">
      <c r="A33" s="278" t="s">
        <v>215</v>
      </c>
      <c r="B33" s="304"/>
      <c r="C33" s="305"/>
      <c r="D33" s="308">
        <f>SUM('Capital Flow'!$Q$15)/1000</f>
        <v>13.2</v>
      </c>
      <c r="E33" s="308">
        <f>13596/1000</f>
        <v>13.596</v>
      </c>
      <c r="F33" s="309">
        <f>14003.88/1000</f>
        <v>14.003879999999999</v>
      </c>
    </row>
    <row r="34" spans="1:6" ht="15">
      <c r="A34" s="278" t="s">
        <v>25</v>
      </c>
      <c r="B34" s="304"/>
      <c r="C34" s="305"/>
      <c r="D34" s="308">
        <f>9600/1000</f>
        <v>9.6</v>
      </c>
      <c r="E34" s="308">
        <f>9888/1000</f>
        <v>9.888</v>
      </c>
      <c r="F34" s="309">
        <f>10184.64/1000</f>
        <v>10.18464</v>
      </c>
    </row>
    <row r="35" spans="1:6" ht="15">
      <c r="A35" s="278" t="s">
        <v>54</v>
      </c>
      <c r="B35" s="304"/>
      <c r="C35" s="305"/>
      <c r="D35" s="308">
        <f>SUM('Capital Flow'!$Q$14)/1000</f>
        <v>60</v>
      </c>
      <c r="E35" s="308">
        <f>61800/1000</f>
        <v>61.8</v>
      </c>
      <c r="F35" s="309">
        <f>63654/1000</f>
        <v>63.654</v>
      </c>
    </row>
    <row r="36" spans="1:6" ht="15">
      <c r="A36" s="278" t="s">
        <v>141</v>
      </c>
      <c r="B36" s="304"/>
      <c r="C36" s="305"/>
      <c r="D36" s="308">
        <f>SUM('Capital Flow'!$Q$22)/1000</f>
        <v>18</v>
      </c>
      <c r="E36" s="308">
        <f>18540/1000</f>
        <v>18.54</v>
      </c>
      <c r="F36" s="309">
        <f>19096.2/1000</f>
        <v>19.0962</v>
      </c>
    </row>
    <row r="37" spans="1:6" ht="15">
      <c r="A37" s="278" t="s">
        <v>216</v>
      </c>
      <c r="B37" s="304"/>
      <c r="C37" s="305"/>
      <c r="D37" s="308">
        <f>SUM('Capital Flow'!$Q$20)/1000</f>
        <v>306.25</v>
      </c>
      <c r="E37" s="308">
        <f>418600/1000</f>
        <v>418.6</v>
      </c>
      <c r="F37" s="309">
        <f>509162.5/1000</f>
        <v>509.1625</v>
      </c>
    </row>
    <row r="38" spans="1:6" ht="15">
      <c r="A38" s="278" t="s">
        <v>217</v>
      </c>
      <c r="B38" s="304"/>
      <c r="C38" s="305"/>
      <c r="D38" s="308">
        <f>SUM('Capital Flow'!$Q$21)/1000</f>
        <v>45.93749999999999</v>
      </c>
      <c r="E38" s="308">
        <f>62790/1000</f>
        <v>62.79</v>
      </c>
      <c r="F38" s="309">
        <f>76374/1000</f>
        <v>76.374</v>
      </c>
    </row>
    <row r="39" spans="1:5" ht="15">
      <c r="A39" s="277"/>
      <c r="B39" s="277"/>
      <c r="C39" s="286"/>
      <c r="D39" s="277"/>
      <c r="E39" s="277"/>
    </row>
    <row r="40" spans="1:6" ht="13.5" thickBot="1">
      <c r="A40" s="293" t="s">
        <v>91</v>
      </c>
      <c r="B40" s="293"/>
      <c r="C40" s="294"/>
      <c r="D40" s="306">
        <f>SUM(D28:D39)</f>
        <v>526.5124999999999</v>
      </c>
      <c r="E40" s="306">
        <f aca="true" t="shared" si="3" ref="E40:F40">SUM(E28:E39)</f>
        <v>637.251</v>
      </c>
      <c r="F40" s="306">
        <f t="shared" si="3"/>
        <v>746.0695800000001</v>
      </c>
    </row>
    <row r="41" spans="1:5" ht="15">
      <c r="A41" s="277"/>
      <c r="B41" s="277"/>
      <c r="C41" s="286"/>
      <c r="D41" s="277"/>
      <c r="E41" s="277"/>
    </row>
    <row r="42" spans="1:6" ht="15">
      <c r="A42" s="277" t="s">
        <v>218</v>
      </c>
      <c r="B42" s="277"/>
      <c r="C42" s="286"/>
      <c r="D42" s="308">
        <f>SUM(D23-D40)</f>
        <v>709.3414560779751</v>
      </c>
      <c r="E42" s="308">
        <f aca="true" t="shared" si="4" ref="E42:F42">SUM(E23-E40)</f>
        <v>1769.95358967878</v>
      </c>
      <c r="F42" s="308">
        <f t="shared" si="4"/>
        <v>1851.7911962201754</v>
      </c>
    </row>
    <row r="43" spans="1:5" ht="15">
      <c r="A43" s="277"/>
      <c r="B43" s="277"/>
      <c r="C43" s="286"/>
      <c r="D43" s="277"/>
      <c r="E43" s="277"/>
    </row>
    <row r="44" spans="1:5" ht="15">
      <c r="A44" s="212" t="s">
        <v>219</v>
      </c>
      <c r="B44" s="212"/>
      <c r="C44" s="211"/>
      <c r="D44" s="212"/>
      <c r="E44" s="212"/>
    </row>
    <row r="45" spans="1:5" ht="15">
      <c r="A45" s="212" t="s">
        <v>93</v>
      </c>
      <c r="B45" s="212"/>
      <c r="C45" s="211"/>
      <c r="D45" s="212"/>
      <c r="E45" s="212"/>
    </row>
    <row r="46" spans="1:6" ht="13.5" thickBot="1">
      <c r="A46" s="293" t="s">
        <v>220</v>
      </c>
      <c r="B46" s="293"/>
      <c r="C46" s="294"/>
      <c r="D46" s="315">
        <f>SUM('Capital Flow'!$Q$28)/1000</f>
        <v>-69</v>
      </c>
      <c r="E46" s="315">
        <f>SUM('Capital Flow'!$Q$28)/1000</f>
        <v>-69</v>
      </c>
      <c r="F46" s="315">
        <f>SUM('Capital Flow'!$Q$28)/1000</f>
        <v>-69</v>
      </c>
    </row>
    <row r="47" spans="1:5" ht="15">
      <c r="A47" s="277"/>
      <c r="B47" s="277"/>
      <c r="C47" s="286"/>
      <c r="D47" s="277"/>
      <c r="E47" s="277"/>
    </row>
    <row r="48" spans="1:6" ht="15">
      <c r="A48" s="277" t="s">
        <v>221</v>
      </c>
      <c r="B48" s="277"/>
      <c r="C48" s="286"/>
      <c r="D48" s="308">
        <f>SUM(D42:D47)</f>
        <v>640.3414560779751</v>
      </c>
      <c r="E48" s="308">
        <f aca="true" t="shared" si="5" ref="E48:F48">SUM(E42:E47)</f>
        <v>1700.95358967878</v>
      </c>
      <c r="F48" s="308">
        <f t="shared" si="5"/>
        <v>1782.7911962201754</v>
      </c>
    </row>
    <row r="49" spans="1:5" ht="15">
      <c r="A49" s="277"/>
      <c r="B49" s="277"/>
      <c r="C49" s="286"/>
      <c r="D49" s="280"/>
      <c r="E49" s="280"/>
    </row>
    <row r="50" spans="1:6" ht="15">
      <c r="A50" s="277" t="s">
        <v>225</v>
      </c>
      <c r="B50" s="277"/>
      <c r="C50" s="286"/>
      <c r="D50" s="317">
        <v>0</v>
      </c>
      <c r="E50" s="317">
        <v>0</v>
      </c>
      <c r="F50" s="316">
        <v>0</v>
      </c>
    </row>
    <row r="51" spans="1:6" ht="15">
      <c r="A51" s="277" t="s">
        <v>226</v>
      </c>
      <c r="B51" s="277"/>
      <c r="C51" s="286"/>
      <c r="D51" s="317">
        <v>0</v>
      </c>
      <c r="E51" s="317">
        <v>0</v>
      </c>
      <c r="F51" s="316">
        <v>0</v>
      </c>
    </row>
    <row r="52" spans="1:3" ht="15">
      <c r="A52" s="277"/>
      <c r="B52" s="277"/>
      <c r="C52" s="290"/>
    </row>
    <row r="53" spans="1:6" ht="15">
      <c r="A53" s="283" t="s">
        <v>204</v>
      </c>
      <c r="B53" s="283"/>
      <c r="C53" s="290"/>
      <c r="D53" s="321">
        <f>SUM(D48-D50-D51)</f>
        <v>640.3414560779751</v>
      </c>
      <c r="E53" s="321">
        <f aca="true" t="shared" si="6" ref="E53:F53">SUM(E48-E50-E51)</f>
        <v>1700.95358967878</v>
      </c>
      <c r="F53" s="321">
        <f t="shared" si="6"/>
        <v>1782.7911962201754</v>
      </c>
    </row>
    <row r="54" spans="1:3" ht="13.5" thickBot="1">
      <c r="A54" s="289"/>
      <c r="B54" s="289"/>
      <c r="C54" s="290"/>
    </row>
    <row r="55" spans="1:6" ht="13.5" thickBot="1">
      <c r="A55" s="295" t="s">
        <v>206</v>
      </c>
      <c r="B55" s="318"/>
      <c r="C55" s="319"/>
      <c r="D55" s="320">
        <f>SUM(D53/D14)</f>
        <v>0.316175085661325</v>
      </c>
      <c r="E55" s="320">
        <f aca="true" t="shared" si="7" ref="E55:F55">SUM(E53/E14)</f>
        <v>0.4354341657377424</v>
      </c>
      <c r="F55" s="320">
        <f t="shared" si="7"/>
        <v>0.3996059223188579</v>
      </c>
    </row>
    <row r="56" spans="1:6" ht="15">
      <c r="A56" s="329"/>
      <c r="B56" s="279"/>
      <c r="C56" s="290"/>
      <c r="D56" s="290"/>
      <c r="E56" s="290"/>
      <c r="F56" s="290"/>
    </row>
  </sheetData>
  <mergeCells count="3">
    <mergeCell ref="A1:B1"/>
    <mergeCell ref="D1:F2"/>
    <mergeCell ref="A2:B2"/>
  </mergeCells>
  <printOptions/>
  <pageMargins left="0.25" right="0.25" top="0.75" bottom="0.75" header="0.3" footer="0.3"/>
  <pageSetup fitToHeight="1" fitToWidth="1" horizontalDpi="600" verticalDpi="600" orientation="landscape" scale="71" r:id="rId1"/>
  <headerFooter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5F4A-58B7-40E6-A82A-1ED44EA5154C}">
  <dimension ref="A1:BJ67"/>
  <sheetViews>
    <sheetView workbookViewId="0" topLeftCell="A1">
      <selection activeCell="H3" sqref="H3"/>
    </sheetView>
  </sheetViews>
  <sheetFormatPr defaultColWidth="9.140625" defaultRowHeight="15"/>
  <cols>
    <col min="1" max="1" width="41.140625" style="89" bestFit="1" customWidth="1"/>
    <col min="2" max="2" width="0.42578125" style="48" customWidth="1"/>
    <col min="3" max="5" width="10.140625" style="89" bestFit="1" customWidth="1"/>
    <col min="6" max="11" width="11.28125" style="89" bestFit="1" customWidth="1"/>
    <col min="12" max="14" width="11.421875" style="89" bestFit="1" customWidth="1"/>
    <col min="15" max="16" width="9.7109375" style="89" hidden="1" customWidth="1"/>
    <col min="17" max="62" width="11.28125" style="89" hidden="1" customWidth="1"/>
    <col min="63" max="63" width="9.140625" style="89" hidden="1" customWidth="1"/>
    <col min="64" max="16384" width="9.140625" style="89" customWidth="1"/>
  </cols>
  <sheetData>
    <row r="1" spans="1:62" s="107" customFormat="1" ht="18">
      <c r="A1" s="108" t="s">
        <v>166</v>
      </c>
      <c r="B1" s="49"/>
      <c r="C1" s="356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</row>
    <row r="2" spans="1:62" s="107" customFormat="1" ht="18">
      <c r="A2" s="109" t="s">
        <v>202</v>
      </c>
      <c r="B2" s="49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</row>
    <row r="3" spans="1:62" s="107" customFormat="1" ht="18">
      <c r="A3" s="109"/>
      <c r="B3" s="49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</row>
    <row r="4" spans="1:62" ht="18">
      <c r="A4" s="50"/>
      <c r="B4" s="49"/>
      <c r="C4" s="53" t="s">
        <v>0</v>
      </c>
      <c r="D4" s="53" t="s">
        <v>1</v>
      </c>
      <c r="E4" s="53" t="s">
        <v>2</v>
      </c>
      <c r="F4" s="53" t="s">
        <v>3</v>
      </c>
      <c r="G4" s="53" t="s">
        <v>4</v>
      </c>
      <c r="H4" s="53" t="s">
        <v>5</v>
      </c>
      <c r="I4" s="53" t="s">
        <v>6</v>
      </c>
      <c r="J4" s="53" t="s">
        <v>7</v>
      </c>
      <c r="K4" s="53" t="s">
        <v>8</v>
      </c>
      <c r="L4" s="53" t="s">
        <v>9</v>
      </c>
      <c r="M4" s="53" t="s">
        <v>10</v>
      </c>
      <c r="N4" s="53" t="s">
        <v>11</v>
      </c>
      <c r="O4" s="54"/>
      <c r="P4" s="55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</row>
    <row r="5" spans="1:62" ht="12.75">
      <c r="A5" s="138" t="s">
        <v>167</v>
      </c>
      <c r="B5" s="87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91">
        <v>43466</v>
      </c>
      <c r="P5" s="91">
        <v>43497</v>
      </c>
      <c r="Q5" s="91">
        <v>43525</v>
      </c>
      <c r="R5" s="91">
        <v>43556</v>
      </c>
      <c r="S5" s="91">
        <v>43586</v>
      </c>
      <c r="T5" s="91">
        <v>43617</v>
      </c>
      <c r="U5" s="91">
        <v>43647</v>
      </c>
      <c r="V5" s="91">
        <v>43678</v>
      </c>
      <c r="W5" s="91">
        <v>43709</v>
      </c>
      <c r="X5" s="91">
        <v>43739</v>
      </c>
      <c r="Y5" s="91">
        <v>43770</v>
      </c>
      <c r="Z5" s="91">
        <v>43800</v>
      </c>
      <c r="AA5" s="91">
        <v>43831</v>
      </c>
      <c r="AB5" s="91">
        <v>43862</v>
      </c>
      <c r="AC5" s="91">
        <v>43891</v>
      </c>
      <c r="AD5" s="91">
        <v>43922</v>
      </c>
      <c r="AE5" s="91">
        <v>43952</v>
      </c>
      <c r="AF5" s="91">
        <v>43983</v>
      </c>
      <c r="AG5" s="91">
        <v>44013</v>
      </c>
      <c r="AH5" s="91">
        <v>44044</v>
      </c>
      <c r="AI5" s="91">
        <v>44075</v>
      </c>
      <c r="AJ5" s="91">
        <v>44105</v>
      </c>
      <c r="AK5" s="91">
        <v>44136</v>
      </c>
      <c r="AL5" s="91">
        <v>44166</v>
      </c>
      <c r="AM5" s="91">
        <v>44197</v>
      </c>
      <c r="AN5" s="91">
        <v>44228</v>
      </c>
      <c r="AO5" s="91">
        <v>44256</v>
      </c>
      <c r="AP5" s="91">
        <v>44287</v>
      </c>
      <c r="AQ5" s="91">
        <v>44317</v>
      </c>
      <c r="AR5" s="91">
        <v>44348</v>
      </c>
      <c r="AS5" s="91">
        <v>44378</v>
      </c>
      <c r="AT5" s="91">
        <v>44409</v>
      </c>
      <c r="AU5" s="91">
        <v>44440</v>
      </c>
      <c r="AV5" s="91">
        <v>44470</v>
      </c>
      <c r="AW5" s="91">
        <v>44501</v>
      </c>
      <c r="AX5" s="91">
        <v>44531</v>
      </c>
      <c r="AY5" s="91">
        <v>44562</v>
      </c>
      <c r="AZ5" s="91">
        <v>44593</v>
      </c>
      <c r="BA5" s="91">
        <v>44621</v>
      </c>
      <c r="BB5" s="91">
        <v>44652</v>
      </c>
      <c r="BC5" s="91">
        <v>44682</v>
      </c>
      <c r="BD5" s="91">
        <v>44713</v>
      </c>
      <c r="BE5" s="91">
        <v>44743</v>
      </c>
      <c r="BF5" s="91">
        <v>44774</v>
      </c>
      <c r="BG5" s="91">
        <v>44805</v>
      </c>
      <c r="BH5" s="91">
        <v>44835</v>
      </c>
      <c r="BI5" s="91">
        <v>44866</v>
      </c>
      <c r="BJ5" s="91">
        <v>44896</v>
      </c>
    </row>
    <row r="6" spans="1:62" ht="15">
      <c r="A6" s="112" t="s">
        <v>137</v>
      </c>
      <c r="B6" s="113"/>
      <c r="C6" s="114">
        <f aca="true" t="shared" si="0" ref="C6:AH6">C40-C19</f>
        <v>1830.5079172385158</v>
      </c>
      <c r="D6" s="114">
        <f t="shared" si="0"/>
        <v>34121.065954080084</v>
      </c>
      <c r="E6" s="114">
        <f t="shared" si="0"/>
        <v>71748.78183442226</v>
      </c>
      <c r="F6" s="114">
        <f t="shared" si="0"/>
        <v>114728.28516256087</v>
      </c>
      <c r="G6" s="114">
        <f t="shared" si="0"/>
        <v>163074.2274523424</v>
      </c>
      <c r="H6" s="114">
        <f t="shared" si="0"/>
        <v>218813.78215635335</v>
      </c>
      <c r="I6" s="114">
        <f t="shared" si="0"/>
        <v>281961.6446951465</v>
      </c>
      <c r="J6" s="114">
        <f t="shared" si="0"/>
        <v>352532.5324865035</v>
      </c>
      <c r="K6" s="114">
        <f t="shared" si="0"/>
        <v>430541.1849747334</v>
      </c>
      <c r="L6" s="114">
        <f t="shared" si="0"/>
        <v>516002.363660009</v>
      </c>
      <c r="M6" s="114">
        <f t="shared" si="0"/>
        <v>608930.8521277388</v>
      </c>
      <c r="N6" s="114">
        <f t="shared" si="0"/>
        <v>709341.4560779752</v>
      </c>
      <c r="O6" s="92">
        <f t="shared" si="0"/>
        <v>821424.9956894105</v>
      </c>
      <c r="P6" s="92">
        <f t="shared" si="0"/>
        <v>932921.763305585</v>
      </c>
      <c r="Q6" s="92">
        <f t="shared" si="0"/>
        <v>1052215.8404976293</v>
      </c>
      <c r="R6" s="92">
        <f t="shared" si="0"/>
        <v>1179322.657294094</v>
      </c>
      <c r="S6" s="92">
        <f t="shared" si="0"/>
        <v>1314257.6667862774</v>
      </c>
      <c r="T6" s="92">
        <f t="shared" si="0"/>
        <v>1457036.3451589209</v>
      </c>
      <c r="U6" s="92">
        <f t="shared" si="0"/>
        <v>1607674.1917209423</v>
      </c>
      <c r="V6" s="92">
        <f t="shared" si="0"/>
        <v>1766186.7289362093</v>
      </c>
      <c r="W6" s="92">
        <f t="shared" si="0"/>
        <v>1932589.502454348</v>
      </c>
      <c r="X6" s="92">
        <f t="shared" si="0"/>
        <v>2106898.081141593</v>
      </c>
      <c r="Y6" s="92">
        <f t="shared" si="0"/>
        <v>2289128.0571116772</v>
      </c>
      <c r="Z6" s="92">
        <f t="shared" si="0"/>
        <v>2479295.045756753</v>
      </c>
      <c r="AA6" s="92">
        <f t="shared" si="0"/>
        <v>2652820.7544742613</v>
      </c>
      <c r="AB6" s="92">
        <f t="shared" si="0"/>
        <v>2789175.869949572</v>
      </c>
      <c r="AC6" s="92">
        <f t="shared" si="0"/>
        <v>2928755.0687630395</v>
      </c>
      <c r="AD6" s="92">
        <f t="shared" si="0"/>
        <v>3071564.600564146</v>
      </c>
      <c r="AE6" s="92">
        <f t="shared" si="0"/>
        <v>3217610.7242775876</v>
      </c>
      <c r="AF6" s="92">
        <f t="shared" si="0"/>
        <v>3366899.7081155777</v>
      </c>
      <c r="AG6" s="92">
        <f t="shared" si="0"/>
        <v>3519437.8295901623</v>
      </c>
      <c r="AH6" s="92">
        <f t="shared" si="0"/>
        <v>3675231.375525551</v>
      </c>
      <c r="AI6" s="92">
        <f aca="true" t="shared" si="1" ref="AI6:BJ6">AI40-AI19</f>
        <v>3834286.6420704657</v>
      </c>
      <c r="AJ6" s="92">
        <f t="shared" si="1"/>
        <v>3996609.9347104966</v>
      </c>
      <c r="AK6" s="92">
        <f t="shared" si="1"/>
        <v>4162207.5682804906</v>
      </c>
      <c r="AL6" s="92">
        <f t="shared" si="1"/>
        <v>4331085.866976936</v>
      </c>
      <c r="AM6" s="92">
        <f t="shared" si="1"/>
        <v>4420654.657101764</v>
      </c>
      <c r="AN6" s="92">
        <f t="shared" si="1"/>
        <v>4507840.754637531</v>
      </c>
      <c r="AO6" s="92">
        <f t="shared" si="1"/>
        <v>4598143.0379520105</v>
      </c>
      <c r="AP6" s="92">
        <f t="shared" si="1"/>
        <v>4691567.579436785</v>
      </c>
      <c r="AQ6" s="92">
        <f t="shared" si="1"/>
        <v>4788120.460512033</v>
      </c>
      <c r="AR6" s="92">
        <f t="shared" si="1"/>
        <v>4887807.771638516</v>
      </c>
      <c r="AS6" s="92">
        <f t="shared" si="1"/>
        <v>4990635.612329578</v>
      </c>
      <c r="AT6" s="92">
        <f t="shared" si="1"/>
        <v>5096610.09116316</v>
      </c>
      <c r="AU6" s="92">
        <f t="shared" si="1"/>
        <v>5205737.325793829</v>
      </c>
      <c r="AV6" s="92">
        <f t="shared" si="1"/>
        <v>5318023.442964818</v>
      </c>
      <c r="AW6" s="92">
        <f t="shared" si="1"/>
        <v>5433474.578520101</v>
      </c>
      <c r="AX6" s="92">
        <f t="shared" si="1"/>
        <v>5552096.877416448</v>
      </c>
      <c r="AY6" s="92">
        <f t="shared" si="1"/>
        <v>5663560.499149028</v>
      </c>
      <c r="AZ6" s="92">
        <f t="shared" si="1"/>
        <v>5778332.601523011</v>
      </c>
      <c r="BA6" s="92">
        <f t="shared" si="1"/>
        <v>5896294.356906184</v>
      </c>
      <c r="BB6" s="92">
        <f t="shared" si="1"/>
        <v>6017451.946827591</v>
      </c>
      <c r="BC6" s="92">
        <f t="shared" si="1"/>
        <v>6141811.561989682</v>
      </c>
      <c r="BD6" s="92">
        <f t="shared" si="1"/>
        <v>6269379.402280474</v>
      </c>
      <c r="BE6" s="92">
        <f t="shared" si="1"/>
        <v>6400161.676785738</v>
      </c>
      <c r="BF6" s="92">
        <f t="shared" si="1"/>
        <v>6534164.60380119</v>
      </c>
      <c r="BG6" s="92">
        <f t="shared" si="1"/>
        <v>6671394.410844703</v>
      </c>
      <c r="BH6" s="92">
        <f t="shared" si="1"/>
        <v>6811857.334668534</v>
      </c>
      <c r="BI6" s="92">
        <f t="shared" si="1"/>
        <v>6955559.621271564</v>
      </c>
      <c r="BJ6" s="92">
        <f t="shared" si="1"/>
        <v>7102507.525911555</v>
      </c>
    </row>
    <row r="7" spans="1:62" ht="12.75">
      <c r="A7" s="112" t="s">
        <v>168</v>
      </c>
      <c r="B7" s="58"/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93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0</v>
      </c>
      <c r="AZ7" s="93">
        <v>0</v>
      </c>
      <c r="BA7" s="93">
        <v>0</v>
      </c>
      <c r="BB7" s="93">
        <v>0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</row>
    <row r="8" spans="1:62" ht="12.75">
      <c r="A8" s="112" t="s">
        <v>169</v>
      </c>
      <c r="B8" s="58"/>
      <c r="C8" s="115">
        <f aca="true" t="shared" si="2" ref="C8:AH8">-C7*C55</f>
        <v>0</v>
      </c>
      <c r="D8" s="115">
        <f t="shared" si="2"/>
        <v>0</v>
      </c>
      <c r="E8" s="115">
        <f t="shared" si="2"/>
        <v>0</v>
      </c>
      <c r="F8" s="115">
        <f t="shared" si="2"/>
        <v>0</v>
      </c>
      <c r="G8" s="115">
        <f t="shared" si="2"/>
        <v>0</v>
      </c>
      <c r="H8" s="115">
        <f t="shared" si="2"/>
        <v>0</v>
      </c>
      <c r="I8" s="115">
        <f t="shared" si="2"/>
        <v>0</v>
      </c>
      <c r="J8" s="115">
        <f t="shared" si="2"/>
        <v>0</v>
      </c>
      <c r="K8" s="115">
        <f t="shared" si="2"/>
        <v>0</v>
      </c>
      <c r="L8" s="115">
        <f t="shared" si="2"/>
        <v>0</v>
      </c>
      <c r="M8" s="115">
        <f t="shared" si="2"/>
        <v>0</v>
      </c>
      <c r="N8" s="115">
        <f t="shared" si="2"/>
        <v>0</v>
      </c>
      <c r="O8" s="93">
        <f t="shared" si="2"/>
        <v>0</v>
      </c>
      <c r="P8" s="93">
        <f t="shared" si="2"/>
        <v>0</v>
      </c>
      <c r="Q8" s="93">
        <f t="shared" si="2"/>
        <v>0</v>
      </c>
      <c r="R8" s="93">
        <f t="shared" si="2"/>
        <v>0</v>
      </c>
      <c r="S8" s="93">
        <f t="shared" si="2"/>
        <v>0</v>
      </c>
      <c r="T8" s="93">
        <f t="shared" si="2"/>
        <v>0</v>
      </c>
      <c r="U8" s="93">
        <f t="shared" si="2"/>
        <v>0</v>
      </c>
      <c r="V8" s="93">
        <f t="shared" si="2"/>
        <v>0</v>
      </c>
      <c r="W8" s="93">
        <f t="shared" si="2"/>
        <v>0</v>
      </c>
      <c r="X8" s="93">
        <f t="shared" si="2"/>
        <v>0</v>
      </c>
      <c r="Y8" s="93">
        <f t="shared" si="2"/>
        <v>0</v>
      </c>
      <c r="Z8" s="93">
        <f t="shared" si="2"/>
        <v>0</v>
      </c>
      <c r="AA8" s="93">
        <f t="shared" si="2"/>
        <v>0</v>
      </c>
      <c r="AB8" s="93">
        <f t="shared" si="2"/>
        <v>0</v>
      </c>
      <c r="AC8" s="93">
        <f t="shared" si="2"/>
        <v>0</v>
      </c>
      <c r="AD8" s="93">
        <f t="shared" si="2"/>
        <v>0</v>
      </c>
      <c r="AE8" s="93">
        <f t="shared" si="2"/>
        <v>0</v>
      </c>
      <c r="AF8" s="93">
        <f t="shared" si="2"/>
        <v>0</v>
      </c>
      <c r="AG8" s="93">
        <f t="shared" si="2"/>
        <v>0</v>
      </c>
      <c r="AH8" s="93">
        <f t="shared" si="2"/>
        <v>0</v>
      </c>
      <c r="AI8" s="93">
        <f aca="true" t="shared" si="3" ref="AI8:BJ8">-AI7*AI55</f>
        <v>0</v>
      </c>
      <c r="AJ8" s="93">
        <f t="shared" si="3"/>
        <v>0</v>
      </c>
      <c r="AK8" s="93">
        <f t="shared" si="3"/>
        <v>0</v>
      </c>
      <c r="AL8" s="93">
        <f t="shared" si="3"/>
        <v>0</v>
      </c>
      <c r="AM8" s="93">
        <f t="shared" si="3"/>
        <v>0</v>
      </c>
      <c r="AN8" s="93">
        <f t="shared" si="3"/>
        <v>0</v>
      </c>
      <c r="AO8" s="93">
        <f t="shared" si="3"/>
        <v>0</v>
      </c>
      <c r="AP8" s="93">
        <f t="shared" si="3"/>
        <v>0</v>
      </c>
      <c r="AQ8" s="93">
        <f t="shared" si="3"/>
        <v>0</v>
      </c>
      <c r="AR8" s="93">
        <f t="shared" si="3"/>
        <v>0</v>
      </c>
      <c r="AS8" s="93">
        <f t="shared" si="3"/>
        <v>0</v>
      </c>
      <c r="AT8" s="93">
        <f t="shared" si="3"/>
        <v>0</v>
      </c>
      <c r="AU8" s="93">
        <f t="shared" si="3"/>
        <v>0</v>
      </c>
      <c r="AV8" s="93">
        <f t="shared" si="3"/>
        <v>0</v>
      </c>
      <c r="AW8" s="93">
        <f t="shared" si="3"/>
        <v>0</v>
      </c>
      <c r="AX8" s="93">
        <f t="shared" si="3"/>
        <v>0</v>
      </c>
      <c r="AY8" s="93">
        <f t="shared" si="3"/>
        <v>0</v>
      </c>
      <c r="AZ8" s="93">
        <f t="shared" si="3"/>
        <v>0</v>
      </c>
      <c r="BA8" s="93">
        <f t="shared" si="3"/>
        <v>0</v>
      </c>
      <c r="BB8" s="93">
        <f t="shared" si="3"/>
        <v>0</v>
      </c>
      <c r="BC8" s="93">
        <f t="shared" si="3"/>
        <v>0</v>
      </c>
      <c r="BD8" s="93">
        <f t="shared" si="3"/>
        <v>0</v>
      </c>
      <c r="BE8" s="93">
        <f t="shared" si="3"/>
        <v>0</v>
      </c>
      <c r="BF8" s="93">
        <f t="shared" si="3"/>
        <v>0</v>
      </c>
      <c r="BG8" s="93">
        <f t="shared" si="3"/>
        <v>0</v>
      </c>
      <c r="BH8" s="93">
        <f t="shared" si="3"/>
        <v>0</v>
      </c>
      <c r="BI8" s="93">
        <f t="shared" si="3"/>
        <v>0</v>
      </c>
      <c r="BJ8" s="93">
        <f t="shared" si="3"/>
        <v>0</v>
      </c>
    </row>
    <row r="9" spans="1:62" ht="13.5" thickBot="1">
      <c r="A9" s="112" t="s">
        <v>170</v>
      </c>
      <c r="B9" s="116"/>
      <c r="C9" s="117">
        <v>0</v>
      </c>
      <c r="D9" s="117">
        <f aca="true" t="shared" si="4" ref="D9:AI9">C9-D46</f>
        <v>0</v>
      </c>
      <c r="E9" s="117">
        <f t="shared" si="4"/>
        <v>0</v>
      </c>
      <c r="F9" s="117">
        <f t="shared" si="4"/>
        <v>0</v>
      </c>
      <c r="G9" s="117">
        <f t="shared" si="4"/>
        <v>0</v>
      </c>
      <c r="H9" s="117">
        <f t="shared" si="4"/>
        <v>0</v>
      </c>
      <c r="I9" s="117">
        <f t="shared" si="4"/>
        <v>0</v>
      </c>
      <c r="J9" s="117">
        <f t="shared" si="4"/>
        <v>0</v>
      </c>
      <c r="K9" s="117">
        <f t="shared" si="4"/>
        <v>0</v>
      </c>
      <c r="L9" s="117">
        <f t="shared" si="4"/>
        <v>0</v>
      </c>
      <c r="M9" s="117">
        <f t="shared" si="4"/>
        <v>0</v>
      </c>
      <c r="N9" s="117">
        <f t="shared" si="4"/>
        <v>0</v>
      </c>
      <c r="O9" s="94">
        <f t="shared" si="4"/>
        <v>0</v>
      </c>
      <c r="P9" s="94">
        <f t="shared" si="4"/>
        <v>0</v>
      </c>
      <c r="Q9" s="94">
        <f t="shared" si="4"/>
        <v>0</v>
      </c>
      <c r="R9" s="94">
        <f t="shared" si="4"/>
        <v>0</v>
      </c>
      <c r="S9" s="94">
        <f t="shared" si="4"/>
        <v>0</v>
      </c>
      <c r="T9" s="94">
        <f t="shared" si="4"/>
        <v>0</v>
      </c>
      <c r="U9" s="94">
        <f t="shared" si="4"/>
        <v>0</v>
      </c>
      <c r="V9" s="94">
        <f t="shared" si="4"/>
        <v>0</v>
      </c>
      <c r="W9" s="94">
        <f t="shared" si="4"/>
        <v>0</v>
      </c>
      <c r="X9" s="94">
        <f t="shared" si="4"/>
        <v>0</v>
      </c>
      <c r="Y9" s="94">
        <f t="shared" si="4"/>
        <v>0</v>
      </c>
      <c r="Z9" s="94">
        <f t="shared" si="4"/>
        <v>0</v>
      </c>
      <c r="AA9" s="94">
        <f t="shared" si="4"/>
        <v>0</v>
      </c>
      <c r="AB9" s="94">
        <f t="shared" si="4"/>
        <v>0</v>
      </c>
      <c r="AC9" s="94">
        <f t="shared" si="4"/>
        <v>0</v>
      </c>
      <c r="AD9" s="94">
        <f t="shared" si="4"/>
        <v>0</v>
      </c>
      <c r="AE9" s="94">
        <f t="shared" si="4"/>
        <v>0</v>
      </c>
      <c r="AF9" s="94">
        <f t="shared" si="4"/>
        <v>0</v>
      </c>
      <c r="AG9" s="94">
        <f t="shared" si="4"/>
        <v>0</v>
      </c>
      <c r="AH9" s="94">
        <f t="shared" si="4"/>
        <v>0</v>
      </c>
      <c r="AI9" s="94">
        <f t="shared" si="4"/>
        <v>0</v>
      </c>
      <c r="AJ9" s="94">
        <f aca="true" t="shared" si="5" ref="AJ9:BJ9">AI9-AJ46</f>
        <v>0</v>
      </c>
      <c r="AK9" s="94">
        <f t="shared" si="5"/>
        <v>0</v>
      </c>
      <c r="AL9" s="94">
        <f t="shared" si="5"/>
        <v>0</v>
      </c>
      <c r="AM9" s="94">
        <f t="shared" si="5"/>
        <v>0</v>
      </c>
      <c r="AN9" s="94">
        <f t="shared" si="5"/>
        <v>0</v>
      </c>
      <c r="AO9" s="94">
        <f t="shared" si="5"/>
        <v>0</v>
      </c>
      <c r="AP9" s="94">
        <f t="shared" si="5"/>
        <v>0</v>
      </c>
      <c r="AQ9" s="94">
        <f t="shared" si="5"/>
        <v>0</v>
      </c>
      <c r="AR9" s="94">
        <f t="shared" si="5"/>
        <v>0</v>
      </c>
      <c r="AS9" s="94">
        <f t="shared" si="5"/>
        <v>0</v>
      </c>
      <c r="AT9" s="94">
        <f t="shared" si="5"/>
        <v>0</v>
      </c>
      <c r="AU9" s="94">
        <f t="shared" si="5"/>
        <v>0</v>
      </c>
      <c r="AV9" s="94">
        <f t="shared" si="5"/>
        <v>0</v>
      </c>
      <c r="AW9" s="94">
        <f t="shared" si="5"/>
        <v>0</v>
      </c>
      <c r="AX9" s="94">
        <f t="shared" si="5"/>
        <v>0</v>
      </c>
      <c r="AY9" s="94">
        <f t="shared" si="5"/>
        <v>0</v>
      </c>
      <c r="AZ9" s="94">
        <f t="shared" si="5"/>
        <v>0</v>
      </c>
      <c r="BA9" s="94">
        <f t="shared" si="5"/>
        <v>0</v>
      </c>
      <c r="BB9" s="94">
        <f t="shared" si="5"/>
        <v>0</v>
      </c>
      <c r="BC9" s="94">
        <f t="shared" si="5"/>
        <v>0</v>
      </c>
      <c r="BD9" s="94">
        <f t="shared" si="5"/>
        <v>0</v>
      </c>
      <c r="BE9" s="94">
        <f t="shared" si="5"/>
        <v>0</v>
      </c>
      <c r="BF9" s="94">
        <f t="shared" si="5"/>
        <v>0</v>
      </c>
      <c r="BG9" s="94">
        <f t="shared" si="5"/>
        <v>0</v>
      </c>
      <c r="BH9" s="94">
        <f t="shared" si="5"/>
        <v>0</v>
      </c>
      <c r="BI9" s="94">
        <f t="shared" si="5"/>
        <v>0</v>
      </c>
      <c r="BJ9" s="94">
        <f t="shared" si="5"/>
        <v>0</v>
      </c>
    </row>
    <row r="10" spans="1:62" ht="13.5" thickBot="1">
      <c r="A10" s="112" t="s">
        <v>171</v>
      </c>
      <c r="B10" s="116"/>
      <c r="C10" s="117">
        <f aca="true" t="shared" si="6" ref="C10:BJ10">SUM(C7:C9)</f>
        <v>0</v>
      </c>
      <c r="D10" s="117">
        <f t="shared" si="6"/>
        <v>0</v>
      </c>
      <c r="E10" s="117">
        <f t="shared" si="6"/>
        <v>0</v>
      </c>
      <c r="F10" s="117">
        <f t="shared" si="6"/>
        <v>0</v>
      </c>
      <c r="G10" s="117">
        <f t="shared" si="6"/>
        <v>0</v>
      </c>
      <c r="H10" s="117">
        <f t="shared" si="6"/>
        <v>0</v>
      </c>
      <c r="I10" s="117">
        <f t="shared" si="6"/>
        <v>0</v>
      </c>
      <c r="J10" s="117">
        <f t="shared" si="6"/>
        <v>0</v>
      </c>
      <c r="K10" s="117">
        <f t="shared" si="6"/>
        <v>0</v>
      </c>
      <c r="L10" s="117">
        <f t="shared" si="6"/>
        <v>0</v>
      </c>
      <c r="M10" s="117">
        <f t="shared" si="6"/>
        <v>0</v>
      </c>
      <c r="N10" s="117">
        <f t="shared" si="6"/>
        <v>0</v>
      </c>
      <c r="O10" s="94">
        <f t="shared" si="6"/>
        <v>0</v>
      </c>
      <c r="P10" s="94">
        <f t="shared" si="6"/>
        <v>0</v>
      </c>
      <c r="Q10" s="94">
        <f t="shared" si="6"/>
        <v>0</v>
      </c>
      <c r="R10" s="94">
        <f t="shared" si="6"/>
        <v>0</v>
      </c>
      <c r="S10" s="94">
        <f t="shared" si="6"/>
        <v>0</v>
      </c>
      <c r="T10" s="94">
        <f t="shared" si="6"/>
        <v>0</v>
      </c>
      <c r="U10" s="94">
        <f t="shared" si="6"/>
        <v>0</v>
      </c>
      <c r="V10" s="94">
        <f t="shared" si="6"/>
        <v>0</v>
      </c>
      <c r="W10" s="94">
        <f t="shared" si="6"/>
        <v>0</v>
      </c>
      <c r="X10" s="94">
        <f t="shared" si="6"/>
        <v>0</v>
      </c>
      <c r="Y10" s="94">
        <f t="shared" si="6"/>
        <v>0</v>
      </c>
      <c r="Z10" s="94">
        <f t="shared" si="6"/>
        <v>0</v>
      </c>
      <c r="AA10" s="94">
        <f t="shared" si="6"/>
        <v>0</v>
      </c>
      <c r="AB10" s="94">
        <f t="shared" si="6"/>
        <v>0</v>
      </c>
      <c r="AC10" s="94">
        <f t="shared" si="6"/>
        <v>0</v>
      </c>
      <c r="AD10" s="94">
        <f t="shared" si="6"/>
        <v>0</v>
      </c>
      <c r="AE10" s="94">
        <f t="shared" si="6"/>
        <v>0</v>
      </c>
      <c r="AF10" s="94">
        <f t="shared" si="6"/>
        <v>0</v>
      </c>
      <c r="AG10" s="94">
        <f t="shared" si="6"/>
        <v>0</v>
      </c>
      <c r="AH10" s="94">
        <f t="shared" si="6"/>
        <v>0</v>
      </c>
      <c r="AI10" s="94">
        <f t="shared" si="6"/>
        <v>0</v>
      </c>
      <c r="AJ10" s="94">
        <f t="shared" si="6"/>
        <v>0</v>
      </c>
      <c r="AK10" s="94">
        <f t="shared" si="6"/>
        <v>0</v>
      </c>
      <c r="AL10" s="94">
        <f t="shared" si="6"/>
        <v>0</v>
      </c>
      <c r="AM10" s="94">
        <f t="shared" si="6"/>
        <v>0</v>
      </c>
      <c r="AN10" s="94">
        <f t="shared" si="6"/>
        <v>0</v>
      </c>
      <c r="AO10" s="94">
        <f t="shared" si="6"/>
        <v>0</v>
      </c>
      <c r="AP10" s="94">
        <f t="shared" si="6"/>
        <v>0</v>
      </c>
      <c r="AQ10" s="94">
        <f t="shared" si="6"/>
        <v>0</v>
      </c>
      <c r="AR10" s="94">
        <f t="shared" si="6"/>
        <v>0</v>
      </c>
      <c r="AS10" s="94">
        <f t="shared" si="6"/>
        <v>0</v>
      </c>
      <c r="AT10" s="94">
        <f t="shared" si="6"/>
        <v>0</v>
      </c>
      <c r="AU10" s="94">
        <f t="shared" si="6"/>
        <v>0</v>
      </c>
      <c r="AV10" s="94">
        <f t="shared" si="6"/>
        <v>0</v>
      </c>
      <c r="AW10" s="94">
        <f t="shared" si="6"/>
        <v>0</v>
      </c>
      <c r="AX10" s="94">
        <f t="shared" si="6"/>
        <v>0</v>
      </c>
      <c r="AY10" s="94">
        <f t="shared" si="6"/>
        <v>0</v>
      </c>
      <c r="AZ10" s="94">
        <f t="shared" si="6"/>
        <v>0</v>
      </c>
      <c r="BA10" s="94">
        <f t="shared" si="6"/>
        <v>0</v>
      </c>
      <c r="BB10" s="94">
        <f t="shared" si="6"/>
        <v>0</v>
      </c>
      <c r="BC10" s="94">
        <f t="shared" si="6"/>
        <v>0</v>
      </c>
      <c r="BD10" s="94">
        <f t="shared" si="6"/>
        <v>0</v>
      </c>
      <c r="BE10" s="94">
        <f t="shared" si="6"/>
        <v>0</v>
      </c>
      <c r="BF10" s="94">
        <f t="shared" si="6"/>
        <v>0</v>
      </c>
      <c r="BG10" s="94">
        <f t="shared" si="6"/>
        <v>0</v>
      </c>
      <c r="BH10" s="94">
        <f t="shared" si="6"/>
        <v>0</v>
      </c>
      <c r="BI10" s="94">
        <f t="shared" si="6"/>
        <v>0</v>
      </c>
      <c r="BJ10" s="94">
        <f t="shared" si="6"/>
        <v>0</v>
      </c>
    </row>
    <row r="11" spans="1:62" ht="12.75">
      <c r="A11" s="112" t="s">
        <v>172</v>
      </c>
      <c r="B11" s="64"/>
      <c r="C11" s="118">
        <f aca="true" t="shared" si="7" ref="C11:BJ11">+C6+C10</f>
        <v>1830.5079172385158</v>
      </c>
      <c r="D11" s="118">
        <f t="shared" si="7"/>
        <v>34121.065954080084</v>
      </c>
      <c r="E11" s="118">
        <f t="shared" si="7"/>
        <v>71748.78183442226</v>
      </c>
      <c r="F11" s="118">
        <f t="shared" si="7"/>
        <v>114728.28516256087</v>
      </c>
      <c r="G11" s="118">
        <f t="shared" si="7"/>
        <v>163074.2274523424</v>
      </c>
      <c r="H11" s="118">
        <f t="shared" si="7"/>
        <v>218813.78215635335</v>
      </c>
      <c r="I11" s="118">
        <f t="shared" si="7"/>
        <v>281961.6446951465</v>
      </c>
      <c r="J11" s="118">
        <f t="shared" si="7"/>
        <v>352532.5324865035</v>
      </c>
      <c r="K11" s="118">
        <f t="shared" si="7"/>
        <v>430541.1849747334</v>
      </c>
      <c r="L11" s="118">
        <f t="shared" si="7"/>
        <v>516002.363660009</v>
      </c>
      <c r="M11" s="118">
        <f t="shared" si="7"/>
        <v>608930.8521277388</v>
      </c>
      <c r="N11" s="118">
        <f t="shared" si="7"/>
        <v>709341.4560779752</v>
      </c>
      <c r="O11" s="95">
        <f t="shared" si="7"/>
        <v>821424.9956894105</v>
      </c>
      <c r="P11" s="95">
        <f t="shared" si="7"/>
        <v>932921.763305585</v>
      </c>
      <c r="Q11" s="95">
        <f t="shared" si="7"/>
        <v>1052215.8404976293</v>
      </c>
      <c r="R11" s="95">
        <f t="shared" si="7"/>
        <v>1179322.657294094</v>
      </c>
      <c r="S11" s="95">
        <f t="shared" si="7"/>
        <v>1314257.6667862774</v>
      </c>
      <c r="T11" s="95">
        <f t="shared" si="7"/>
        <v>1457036.3451589209</v>
      </c>
      <c r="U11" s="95">
        <f t="shared" si="7"/>
        <v>1607674.1917209423</v>
      </c>
      <c r="V11" s="95">
        <f t="shared" si="7"/>
        <v>1766186.7289362093</v>
      </c>
      <c r="W11" s="95">
        <f t="shared" si="7"/>
        <v>1932589.502454348</v>
      </c>
      <c r="X11" s="95">
        <f t="shared" si="7"/>
        <v>2106898.081141593</v>
      </c>
      <c r="Y11" s="95">
        <f t="shared" si="7"/>
        <v>2289128.0571116772</v>
      </c>
      <c r="Z11" s="95">
        <f t="shared" si="7"/>
        <v>2479295.045756753</v>
      </c>
      <c r="AA11" s="95">
        <f t="shared" si="7"/>
        <v>2652820.7544742613</v>
      </c>
      <c r="AB11" s="95">
        <f t="shared" si="7"/>
        <v>2789175.869949572</v>
      </c>
      <c r="AC11" s="95">
        <f t="shared" si="7"/>
        <v>2928755.0687630395</v>
      </c>
      <c r="AD11" s="95">
        <f t="shared" si="7"/>
        <v>3071564.600564146</v>
      </c>
      <c r="AE11" s="95">
        <f t="shared" si="7"/>
        <v>3217610.7242775876</v>
      </c>
      <c r="AF11" s="95">
        <f t="shared" si="7"/>
        <v>3366899.7081155777</v>
      </c>
      <c r="AG11" s="95">
        <f t="shared" si="7"/>
        <v>3519437.8295901623</v>
      </c>
      <c r="AH11" s="95">
        <f t="shared" si="7"/>
        <v>3675231.375525551</v>
      </c>
      <c r="AI11" s="95">
        <f t="shared" si="7"/>
        <v>3834286.6420704657</v>
      </c>
      <c r="AJ11" s="95">
        <f t="shared" si="7"/>
        <v>3996609.9347104966</v>
      </c>
      <c r="AK11" s="95">
        <f t="shared" si="7"/>
        <v>4162207.5682804906</v>
      </c>
      <c r="AL11" s="95">
        <f t="shared" si="7"/>
        <v>4331085.866976936</v>
      </c>
      <c r="AM11" s="95">
        <f t="shared" si="7"/>
        <v>4420654.657101764</v>
      </c>
      <c r="AN11" s="95">
        <f t="shared" si="7"/>
        <v>4507840.754637531</v>
      </c>
      <c r="AO11" s="95">
        <f t="shared" si="7"/>
        <v>4598143.0379520105</v>
      </c>
      <c r="AP11" s="95">
        <f t="shared" si="7"/>
        <v>4691567.579436785</v>
      </c>
      <c r="AQ11" s="95">
        <f t="shared" si="7"/>
        <v>4788120.460512033</v>
      </c>
      <c r="AR11" s="95">
        <f t="shared" si="7"/>
        <v>4887807.771638516</v>
      </c>
      <c r="AS11" s="95">
        <f t="shared" si="7"/>
        <v>4990635.612329578</v>
      </c>
      <c r="AT11" s="95">
        <f t="shared" si="7"/>
        <v>5096610.09116316</v>
      </c>
      <c r="AU11" s="95">
        <f t="shared" si="7"/>
        <v>5205737.325793829</v>
      </c>
      <c r="AV11" s="95">
        <f t="shared" si="7"/>
        <v>5318023.442964818</v>
      </c>
      <c r="AW11" s="95">
        <f t="shared" si="7"/>
        <v>5433474.578520101</v>
      </c>
      <c r="AX11" s="95">
        <f t="shared" si="7"/>
        <v>5552096.877416448</v>
      </c>
      <c r="AY11" s="95">
        <f t="shared" si="7"/>
        <v>5663560.499149028</v>
      </c>
      <c r="AZ11" s="95">
        <f t="shared" si="7"/>
        <v>5778332.601523011</v>
      </c>
      <c r="BA11" s="95">
        <f t="shared" si="7"/>
        <v>5896294.356906184</v>
      </c>
      <c r="BB11" s="95">
        <f t="shared" si="7"/>
        <v>6017451.946827591</v>
      </c>
      <c r="BC11" s="95">
        <f t="shared" si="7"/>
        <v>6141811.561989682</v>
      </c>
      <c r="BD11" s="95">
        <f t="shared" si="7"/>
        <v>6269379.402280474</v>
      </c>
      <c r="BE11" s="95">
        <f t="shared" si="7"/>
        <v>6400161.676785738</v>
      </c>
      <c r="BF11" s="95">
        <f t="shared" si="7"/>
        <v>6534164.60380119</v>
      </c>
      <c r="BG11" s="95">
        <f t="shared" si="7"/>
        <v>6671394.410844703</v>
      </c>
      <c r="BH11" s="95">
        <f t="shared" si="7"/>
        <v>6811857.334668534</v>
      </c>
      <c r="BI11" s="95">
        <f t="shared" si="7"/>
        <v>6955559.621271564</v>
      </c>
      <c r="BJ11" s="95">
        <f t="shared" si="7"/>
        <v>7102507.525911555</v>
      </c>
    </row>
    <row r="12" spans="1:62" ht="12.75">
      <c r="A12" s="119"/>
      <c r="B12" s="5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</row>
    <row r="13" spans="1:62" ht="12.75">
      <c r="A13" s="138" t="s">
        <v>173</v>
      </c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</row>
    <row r="14" spans="1:62" ht="12.75">
      <c r="A14" s="112" t="s">
        <v>174</v>
      </c>
      <c r="B14" s="73"/>
      <c r="C14" s="115">
        <f>C56</f>
        <v>649541.6666666666</v>
      </c>
      <c r="D14" s="115">
        <f aca="true" t="shared" si="8" ref="D14:BJ14">D56</f>
        <v>644083.3333333333</v>
      </c>
      <c r="E14" s="115">
        <f t="shared" si="8"/>
        <v>638624.9999999999</v>
      </c>
      <c r="F14" s="115">
        <f t="shared" si="8"/>
        <v>633166.6666666665</v>
      </c>
      <c r="G14" s="115">
        <f t="shared" si="8"/>
        <v>627708.3333333331</v>
      </c>
      <c r="H14" s="115">
        <f t="shared" si="8"/>
        <v>622249.9999999998</v>
      </c>
      <c r="I14" s="115">
        <f t="shared" si="8"/>
        <v>616791.6666666664</v>
      </c>
      <c r="J14" s="115">
        <f t="shared" si="8"/>
        <v>611333.333333333</v>
      </c>
      <c r="K14" s="115">
        <f t="shared" si="8"/>
        <v>605874.9999999997</v>
      </c>
      <c r="L14" s="115">
        <f t="shared" si="8"/>
        <v>600416.6666666663</v>
      </c>
      <c r="M14" s="115">
        <f t="shared" si="8"/>
        <v>594958.3333333329</v>
      </c>
      <c r="N14" s="115">
        <f t="shared" si="8"/>
        <v>589499.9999999995</v>
      </c>
      <c r="O14" s="93">
        <f t="shared" si="8"/>
        <v>584041.6666666662</v>
      </c>
      <c r="P14" s="93">
        <f t="shared" si="8"/>
        <v>578583.3333333328</v>
      </c>
      <c r="Q14" s="93">
        <f t="shared" si="8"/>
        <v>573124.9999999994</v>
      </c>
      <c r="R14" s="93">
        <f t="shared" si="8"/>
        <v>567666.666666666</v>
      </c>
      <c r="S14" s="93">
        <f t="shared" si="8"/>
        <v>562208.3333333327</v>
      </c>
      <c r="T14" s="93">
        <f t="shared" si="8"/>
        <v>556749.9999999993</v>
      </c>
      <c r="U14" s="93">
        <f t="shared" si="8"/>
        <v>551291.6666666659</v>
      </c>
      <c r="V14" s="93">
        <f t="shared" si="8"/>
        <v>545833.3333333326</v>
      </c>
      <c r="W14" s="93">
        <f t="shared" si="8"/>
        <v>540374.9999999992</v>
      </c>
      <c r="X14" s="93">
        <f t="shared" si="8"/>
        <v>534916.6666666658</v>
      </c>
      <c r="Y14" s="93">
        <f t="shared" si="8"/>
        <v>529458.3333333324</v>
      </c>
      <c r="Z14" s="93">
        <f t="shared" si="8"/>
        <v>523999.9999999991</v>
      </c>
      <c r="AA14" s="93">
        <f t="shared" si="8"/>
        <v>518541.6666666658</v>
      </c>
      <c r="AB14" s="93">
        <f t="shared" si="8"/>
        <v>513083.3333333325</v>
      </c>
      <c r="AC14" s="93">
        <f t="shared" si="8"/>
        <v>507624.9999999992</v>
      </c>
      <c r="AD14" s="93">
        <f t="shared" si="8"/>
        <v>502166.6666666659</v>
      </c>
      <c r="AE14" s="93">
        <f t="shared" si="8"/>
        <v>496708.33333333256</v>
      </c>
      <c r="AF14" s="93">
        <f t="shared" si="8"/>
        <v>491249.99999999924</v>
      </c>
      <c r="AG14" s="93">
        <f t="shared" si="8"/>
        <v>485791.66666666593</v>
      </c>
      <c r="AH14" s="93">
        <f t="shared" si="8"/>
        <v>480333.3333333326</v>
      </c>
      <c r="AI14" s="93">
        <f t="shared" si="8"/>
        <v>474874.9999999993</v>
      </c>
      <c r="AJ14" s="93">
        <f t="shared" si="8"/>
        <v>469416.666666666</v>
      </c>
      <c r="AK14" s="93">
        <f t="shared" si="8"/>
        <v>463958.3333333327</v>
      </c>
      <c r="AL14" s="93">
        <f t="shared" si="8"/>
        <v>458499.99999999936</v>
      </c>
      <c r="AM14" s="93">
        <f t="shared" si="8"/>
        <v>453041.66666666605</v>
      </c>
      <c r="AN14" s="93">
        <f t="shared" si="8"/>
        <v>447583.33333333273</v>
      </c>
      <c r="AO14" s="93">
        <f t="shared" si="8"/>
        <v>442124.9999999994</v>
      </c>
      <c r="AP14" s="93">
        <f t="shared" si="8"/>
        <v>436666.6666666661</v>
      </c>
      <c r="AQ14" s="93">
        <f t="shared" si="8"/>
        <v>431208.3333333328</v>
      </c>
      <c r="AR14" s="93">
        <f t="shared" si="8"/>
        <v>425749.9999999995</v>
      </c>
      <c r="AS14" s="93">
        <f t="shared" si="8"/>
        <v>420291.66666666616</v>
      </c>
      <c r="AT14" s="93">
        <f t="shared" si="8"/>
        <v>414833.33333333285</v>
      </c>
      <c r="AU14" s="93">
        <f t="shared" si="8"/>
        <v>409374.99999999953</v>
      </c>
      <c r="AV14" s="93">
        <f t="shared" si="8"/>
        <v>403916.6666666662</v>
      </c>
      <c r="AW14" s="93">
        <f t="shared" si="8"/>
        <v>398458.3333333329</v>
      </c>
      <c r="AX14" s="93">
        <f t="shared" si="8"/>
        <v>392999.9999999996</v>
      </c>
      <c r="AY14" s="93">
        <f t="shared" si="8"/>
        <v>387541.6666666663</v>
      </c>
      <c r="AZ14" s="93">
        <f t="shared" si="8"/>
        <v>382083.33333333296</v>
      </c>
      <c r="BA14" s="93">
        <f t="shared" si="8"/>
        <v>376624.99999999965</v>
      </c>
      <c r="BB14" s="93">
        <f t="shared" si="8"/>
        <v>371166.66666666634</v>
      </c>
      <c r="BC14" s="93">
        <f t="shared" si="8"/>
        <v>365708.333333333</v>
      </c>
      <c r="BD14" s="93">
        <f t="shared" si="8"/>
        <v>360249.9999999997</v>
      </c>
      <c r="BE14" s="93">
        <f t="shared" si="8"/>
        <v>354791.6666666664</v>
      </c>
      <c r="BF14" s="93">
        <f t="shared" si="8"/>
        <v>349333.3333333331</v>
      </c>
      <c r="BG14" s="93">
        <f t="shared" si="8"/>
        <v>343874.99999999977</v>
      </c>
      <c r="BH14" s="93">
        <f t="shared" si="8"/>
        <v>338416.66666666645</v>
      </c>
      <c r="BI14" s="93">
        <f t="shared" si="8"/>
        <v>332958.33333333314</v>
      </c>
      <c r="BJ14" s="93">
        <f t="shared" si="8"/>
        <v>327499.9999999998</v>
      </c>
    </row>
    <row r="15" spans="1:62" ht="12.75">
      <c r="A15" s="112" t="s">
        <v>175</v>
      </c>
      <c r="B15" s="73"/>
      <c r="C15" s="115">
        <f>C59</f>
        <v>17208.333333333332</v>
      </c>
      <c r="D15" s="115">
        <f aca="true" t="shared" si="9" ref="D15:BJ15">D59</f>
        <v>16916.666666666664</v>
      </c>
      <c r="E15" s="115">
        <f t="shared" si="9"/>
        <v>16624.999999999996</v>
      </c>
      <c r="F15" s="115">
        <f t="shared" si="9"/>
        <v>16333.33333333333</v>
      </c>
      <c r="G15" s="115">
        <f t="shared" si="9"/>
        <v>16041.666666666664</v>
      </c>
      <c r="H15" s="115">
        <f t="shared" si="9"/>
        <v>15749.999999999998</v>
      </c>
      <c r="I15" s="115">
        <f t="shared" si="9"/>
        <v>15458.333333333332</v>
      </c>
      <c r="J15" s="115">
        <f t="shared" si="9"/>
        <v>15166.666666666666</v>
      </c>
      <c r="K15" s="115">
        <f t="shared" si="9"/>
        <v>14875</v>
      </c>
      <c r="L15" s="115">
        <f t="shared" si="9"/>
        <v>14583.333333333334</v>
      </c>
      <c r="M15" s="115">
        <f t="shared" si="9"/>
        <v>14291.666666666668</v>
      </c>
      <c r="N15" s="115">
        <f t="shared" si="9"/>
        <v>14000.000000000002</v>
      </c>
      <c r="O15" s="93">
        <f t="shared" si="9"/>
        <v>13708.333333333336</v>
      </c>
      <c r="P15" s="93">
        <f t="shared" si="9"/>
        <v>13416.66666666667</v>
      </c>
      <c r="Q15" s="93">
        <f t="shared" si="9"/>
        <v>13125.000000000004</v>
      </c>
      <c r="R15" s="93">
        <f t="shared" si="9"/>
        <v>12833.333333333338</v>
      </c>
      <c r="S15" s="93">
        <f t="shared" si="9"/>
        <v>12541.666666666672</v>
      </c>
      <c r="T15" s="93">
        <f t="shared" si="9"/>
        <v>12250.000000000005</v>
      </c>
      <c r="U15" s="93">
        <f t="shared" si="9"/>
        <v>11958.33333333334</v>
      </c>
      <c r="V15" s="93">
        <f t="shared" si="9"/>
        <v>11666.666666666673</v>
      </c>
      <c r="W15" s="93">
        <f t="shared" si="9"/>
        <v>11375.000000000007</v>
      </c>
      <c r="X15" s="93">
        <f t="shared" si="9"/>
        <v>11083.333333333341</v>
      </c>
      <c r="Y15" s="93">
        <f t="shared" si="9"/>
        <v>10791.666666666675</v>
      </c>
      <c r="Z15" s="93">
        <f t="shared" si="9"/>
        <v>10500.00000000001</v>
      </c>
      <c r="AA15" s="93">
        <f t="shared" si="9"/>
        <v>10208.333333333343</v>
      </c>
      <c r="AB15" s="93">
        <f t="shared" si="9"/>
        <v>9916.666666666677</v>
      </c>
      <c r="AC15" s="93">
        <f t="shared" si="9"/>
        <v>9625.000000000011</v>
      </c>
      <c r="AD15" s="93">
        <f t="shared" si="9"/>
        <v>9333.333333333345</v>
      </c>
      <c r="AE15" s="93">
        <f t="shared" si="9"/>
        <v>9041.666666666679</v>
      </c>
      <c r="AF15" s="93">
        <f t="shared" si="9"/>
        <v>8750.000000000013</v>
      </c>
      <c r="AG15" s="93">
        <f t="shared" si="9"/>
        <v>8458.333333333347</v>
      </c>
      <c r="AH15" s="93">
        <f t="shared" si="9"/>
        <v>8166.66666666668</v>
      </c>
      <c r="AI15" s="93">
        <f t="shared" si="9"/>
        <v>7875.000000000013</v>
      </c>
      <c r="AJ15" s="93">
        <f t="shared" si="9"/>
        <v>7583.333333333346</v>
      </c>
      <c r="AK15" s="93">
        <f t="shared" si="9"/>
        <v>7291.666666666679</v>
      </c>
      <c r="AL15" s="93">
        <f t="shared" si="9"/>
        <v>7000.000000000012</v>
      </c>
      <c r="AM15" s="93">
        <f t="shared" si="9"/>
        <v>6708.333333333345</v>
      </c>
      <c r="AN15" s="93">
        <f t="shared" si="9"/>
        <v>6416.666666666678</v>
      </c>
      <c r="AO15" s="93">
        <f t="shared" si="9"/>
        <v>6125.000000000011</v>
      </c>
      <c r="AP15" s="93">
        <f t="shared" si="9"/>
        <v>5833.333333333344</v>
      </c>
      <c r="AQ15" s="93">
        <f t="shared" si="9"/>
        <v>5541.666666666677</v>
      </c>
      <c r="AR15" s="93">
        <f t="shared" si="9"/>
        <v>5250.00000000001</v>
      </c>
      <c r="AS15" s="93">
        <f t="shared" si="9"/>
        <v>4958.333333333343</v>
      </c>
      <c r="AT15" s="93">
        <f t="shared" si="9"/>
        <v>4666.666666666676</v>
      </c>
      <c r="AU15" s="93">
        <f t="shared" si="9"/>
        <v>4375.000000000009</v>
      </c>
      <c r="AV15" s="93">
        <f t="shared" si="9"/>
        <v>4083.3333333333426</v>
      </c>
      <c r="AW15" s="93">
        <f t="shared" si="9"/>
        <v>3791.666666666676</v>
      </c>
      <c r="AX15" s="93">
        <f t="shared" si="9"/>
        <v>3500.0000000000095</v>
      </c>
      <c r="AY15" s="93">
        <f t="shared" si="9"/>
        <v>3208.333333333343</v>
      </c>
      <c r="AZ15" s="93">
        <f t="shared" si="9"/>
        <v>2916.6666666666765</v>
      </c>
      <c r="BA15" s="93">
        <f t="shared" si="9"/>
        <v>2625.00000000001</v>
      </c>
      <c r="BB15" s="93">
        <f t="shared" si="9"/>
        <v>2333.3333333333435</v>
      </c>
      <c r="BC15" s="93">
        <f t="shared" si="9"/>
        <v>2041.6666666666767</v>
      </c>
      <c r="BD15" s="93">
        <f t="shared" si="9"/>
        <v>1750.00000000001</v>
      </c>
      <c r="BE15" s="93">
        <f t="shared" si="9"/>
        <v>1458.3333333333433</v>
      </c>
      <c r="BF15" s="93">
        <f t="shared" si="9"/>
        <v>1166.6666666666765</v>
      </c>
      <c r="BG15" s="93">
        <f t="shared" si="9"/>
        <v>875.0000000000098</v>
      </c>
      <c r="BH15" s="93">
        <f t="shared" si="9"/>
        <v>583.333333333343</v>
      </c>
      <c r="BI15" s="93">
        <f t="shared" si="9"/>
        <v>291.66666666667635</v>
      </c>
      <c r="BJ15" s="93">
        <f t="shared" si="9"/>
        <v>9.663381206337363E-12</v>
      </c>
    </row>
    <row r="16" spans="1:62" ht="12.75">
      <c r="A16" s="112" t="s">
        <v>176</v>
      </c>
      <c r="B16" s="73"/>
      <c r="C16" s="115">
        <v>0</v>
      </c>
      <c r="D16" s="115">
        <f aca="true" t="shared" si="10" ref="D16:BJ16">+C16</f>
        <v>0</v>
      </c>
      <c r="E16" s="115">
        <f t="shared" si="10"/>
        <v>0</v>
      </c>
      <c r="F16" s="115">
        <f t="shared" si="10"/>
        <v>0</v>
      </c>
      <c r="G16" s="115">
        <f t="shared" si="10"/>
        <v>0</v>
      </c>
      <c r="H16" s="115">
        <f t="shared" si="10"/>
        <v>0</v>
      </c>
      <c r="I16" s="115">
        <f t="shared" si="10"/>
        <v>0</v>
      </c>
      <c r="J16" s="115">
        <f t="shared" si="10"/>
        <v>0</v>
      </c>
      <c r="K16" s="115">
        <f t="shared" si="10"/>
        <v>0</v>
      </c>
      <c r="L16" s="115">
        <f t="shared" si="10"/>
        <v>0</v>
      </c>
      <c r="M16" s="115">
        <f t="shared" si="10"/>
        <v>0</v>
      </c>
      <c r="N16" s="115">
        <f t="shared" si="10"/>
        <v>0</v>
      </c>
      <c r="O16" s="93">
        <f t="shared" si="10"/>
        <v>0</v>
      </c>
      <c r="P16" s="93">
        <f t="shared" si="10"/>
        <v>0</v>
      </c>
      <c r="Q16" s="93">
        <f t="shared" si="10"/>
        <v>0</v>
      </c>
      <c r="R16" s="93">
        <f t="shared" si="10"/>
        <v>0</v>
      </c>
      <c r="S16" s="93">
        <f t="shared" si="10"/>
        <v>0</v>
      </c>
      <c r="T16" s="93">
        <f t="shared" si="10"/>
        <v>0</v>
      </c>
      <c r="U16" s="93">
        <f t="shared" si="10"/>
        <v>0</v>
      </c>
      <c r="V16" s="93">
        <f t="shared" si="10"/>
        <v>0</v>
      </c>
      <c r="W16" s="93">
        <f t="shared" si="10"/>
        <v>0</v>
      </c>
      <c r="X16" s="93">
        <f t="shared" si="10"/>
        <v>0</v>
      </c>
      <c r="Y16" s="93">
        <f t="shared" si="10"/>
        <v>0</v>
      </c>
      <c r="Z16" s="93">
        <f t="shared" si="10"/>
        <v>0</v>
      </c>
      <c r="AA16" s="93">
        <f t="shared" si="10"/>
        <v>0</v>
      </c>
      <c r="AB16" s="93">
        <f t="shared" si="10"/>
        <v>0</v>
      </c>
      <c r="AC16" s="93">
        <f t="shared" si="10"/>
        <v>0</v>
      </c>
      <c r="AD16" s="93">
        <f t="shared" si="10"/>
        <v>0</v>
      </c>
      <c r="AE16" s="93">
        <f t="shared" si="10"/>
        <v>0</v>
      </c>
      <c r="AF16" s="93">
        <f t="shared" si="10"/>
        <v>0</v>
      </c>
      <c r="AG16" s="93">
        <f t="shared" si="10"/>
        <v>0</v>
      </c>
      <c r="AH16" s="93">
        <f t="shared" si="10"/>
        <v>0</v>
      </c>
      <c r="AI16" s="93">
        <f t="shared" si="10"/>
        <v>0</v>
      </c>
      <c r="AJ16" s="93">
        <f t="shared" si="10"/>
        <v>0</v>
      </c>
      <c r="AK16" s="93">
        <f t="shared" si="10"/>
        <v>0</v>
      </c>
      <c r="AL16" s="93">
        <f t="shared" si="10"/>
        <v>0</v>
      </c>
      <c r="AM16" s="93">
        <f t="shared" si="10"/>
        <v>0</v>
      </c>
      <c r="AN16" s="93">
        <f t="shared" si="10"/>
        <v>0</v>
      </c>
      <c r="AO16" s="93">
        <f t="shared" si="10"/>
        <v>0</v>
      </c>
      <c r="AP16" s="93">
        <f t="shared" si="10"/>
        <v>0</v>
      </c>
      <c r="AQ16" s="93">
        <f t="shared" si="10"/>
        <v>0</v>
      </c>
      <c r="AR16" s="93">
        <f t="shared" si="10"/>
        <v>0</v>
      </c>
      <c r="AS16" s="93">
        <f t="shared" si="10"/>
        <v>0</v>
      </c>
      <c r="AT16" s="93">
        <f t="shared" si="10"/>
        <v>0</v>
      </c>
      <c r="AU16" s="93">
        <f t="shared" si="10"/>
        <v>0</v>
      </c>
      <c r="AV16" s="93">
        <f t="shared" si="10"/>
        <v>0</v>
      </c>
      <c r="AW16" s="93">
        <f t="shared" si="10"/>
        <v>0</v>
      </c>
      <c r="AX16" s="93">
        <f t="shared" si="10"/>
        <v>0</v>
      </c>
      <c r="AY16" s="93">
        <f t="shared" si="10"/>
        <v>0</v>
      </c>
      <c r="AZ16" s="93">
        <f t="shared" si="10"/>
        <v>0</v>
      </c>
      <c r="BA16" s="93">
        <f t="shared" si="10"/>
        <v>0</v>
      </c>
      <c r="BB16" s="93">
        <f t="shared" si="10"/>
        <v>0</v>
      </c>
      <c r="BC16" s="93">
        <f t="shared" si="10"/>
        <v>0</v>
      </c>
      <c r="BD16" s="93">
        <f t="shared" si="10"/>
        <v>0</v>
      </c>
      <c r="BE16" s="93">
        <f t="shared" si="10"/>
        <v>0</v>
      </c>
      <c r="BF16" s="93">
        <f t="shared" si="10"/>
        <v>0</v>
      </c>
      <c r="BG16" s="93">
        <f t="shared" si="10"/>
        <v>0</v>
      </c>
      <c r="BH16" s="93">
        <f t="shared" si="10"/>
        <v>0</v>
      </c>
      <c r="BI16" s="93">
        <f t="shared" si="10"/>
        <v>0</v>
      </c>
      <c r="BJ16" s="93">
        <f t="shared" si="10"/>
        <v>0</v>
      </c>
    </row>
    <row r="17" spans="1:62" ht="15.75" customHeight="1" thickBot="1">
      <c r="A17" s="112" t="s">
        <v>177</v>
      </c>
      <c r="B17" s="73"/>
      <c r="C17" s="117">
        <v>7500</v>
      </c>
      <c r="D17" s="117">
        <f aca="true" t="shared" si="11" ref="D17:BJ17">C17</f>
        <v>7500</v>
      </c>
      <c r="E17" s="117">
        <f t="shared" si="11"/>
        <v>7500</v>
      </c>
      <c r="F17" s="117">
        <f t="shared" si="11"/>
        <v>7500</v>
      </c>
      <c r="G17" s="117">
        <f t="shared" si="11"/>
        <v>7500</v>
      </c>
      <c r="H17" s="117">
        <f t="shared" si="11"/>
        <v>7500</v>
      </c>
      <c r="I17" s="117">
        <f t="shared" si="11"/>
        <v>7500</v>
      </c>
      <c r="J17" s="117">
        <f t="shared" si="11"/>
        <v>7500</v>
      </c>
      <c r="K17" s="117">
        <f t="shared" si="11"/>
        <v>7500</v>
      </c>
      <c r="L17" s="117">
        <f t="shared" si="11"/>
        <v>7500</v>
      </c>
      <c r="M17" s="117">
        <f t="shared" si="11"/>
        <v>7500</v>
      </c>
      <c r="N17" s="117">
        <f t="shared" si="11"/>
        <v>7500</v>
      </c>
      <c r="O17" s="94">
        <f t="shared" si="11"/>
        <v>7500</v>
      </c>
      <c r="P17" s="94">
        <f t="shared" si="11"/>
        <v>7500</v>
      </c>
      <c r="Q17" s="94">
        <f t="shared" si="11"/>
        <v>7500</v>
      </c>
      <c r="R17" s="94">
        <f t="shared" si="11"/>
        <v>7500</v>
      </c>
      <c r="S17" s="94">
        <f t="shared" si="11"/>
        <v>7500</v>
      </c>
      <c r="T17" s="94">
        <f t="shared" si="11"/>
        <v>7500</v>
      </c>
      <c r="U17" s="94">
        <f t="shared" si="11"/>
        <v>7500</v>
      </c>
      <c r="V17" s="94">
        <f t="shared" si="11"/>
        <v>7500</v>
      </c>
      <c r="W17" s="94">
        <f t="shared" si="11"/>
        <v>7500</v>
      </c>
      <c r="X17" s="94">
        <f t="shared" si="11"/>
        <v>7500</v>
      </c>
      <c r="Y17" s="94">
        <f t="shared" si="11"/>
        <v>7500</v>
      </c>
      <c r="Z17" s="94">
        <f t="shared" si="11"/>
        <v>7500</v>
      </c>
      <c r="AA17" s="94">
        <f t="shared" si="11"/>
        <v>7500</v>
      </c>
      <c r="AB17" s="94">
        <f t="shared" si="11"/>
        <v>7500</v>
      </c>
      <c r="AC17" s="94">
        <f t="shared" si="11"/>
        <v>7500</v>
      </c>
      <c r="AD17" s="94">
        <f t="shared" si="11"/>
        <v>7500</v>
      </c>
      <c r="AE17" s="94">
        <f t="shared" si="11"/>
        <v>7500</v>
      </c>
      <c r="AF17" s="94">
        <f t="shared" si="11"/>
        <v>7500</v>
      </c>
      <c r="AG17" s="94">
        <f t="shared" si="11"/>
        <v>7500</v>
      </c>
      <c r="AH17" s="94">
        <f t="shared" si="11"/>
        <v>7500</v>
      </c>
      <c r="AI17" s="94">
        <f t="shared" si="11"/>
        <v>7500</v>
      </c>
      <c r="AJ17" s="94">
        <f t="shared" si="11"/>
        <v>7500</v>
      </c>
      <c r="AK17" s="94">
        <f t="shared" si="11"/>
        <v>7500</v>
      </c>
      <c r="AL17" s="94">
        <f t="shared" si="11"/>
        <v>7500</v>
      </c>
      <c r="AM17" s="94">
        <f t="shared" si="11"/>
        <v>7500</v>
      </c>
      <c r="AN17" s="94">
        <f t="shared" si="11"/>
        <v>7500</v>
      </c>
      <c r="AO17" s="94">
        <f t="shared" si="11"/>
        <v>7500</v>
      </c>
      <c r="AP17" s="94">
        <f t="shared" si="11"/>
        <v>7500</v>
      </c>
      <c r="AQ17" s="94">
        <f t="shared" si="11"/>
        <v>7500</v>
      </c>
      <c r="AR17" s="94">
        <f t="shared" si="11"/>
        <v>7500</v>
      </c>
      <c r="AS17" s="94">
        <f t="shared" si="11"/>
        <v>7500</v>
      </c>
      <c r="AT17" s="94">
        <f t="shared" si="11"/>
        <v>7500</v>
      </c>
      <c r="AU17" s="94">
        <f t="shared" si="11"/>
        <v>7500</v>
      </c>
      <c r="AV17" s="94">
        <f t="shared" si="11"/>
        <v>7500</v>
      </c>
      <c r="AW17" s="94">
        <f t="shared" si="11"/>
        <v>7500</v>
      </c>
      <c r="AX17" s="94">
        <f t="shared" si="11"/>
        <v>7500</v>
      </c>
      <c r="AY17" s="94">
        <f t="shared" si="11"/>
        <v>7500</v>
      </c>
      <c r="AZ17" s="94">
        <f t="shared" si="11"/>
        <v>7500</v>
      </c>
      <c r="BA17" s="94">
        <f t="shared" si="11"/>
        <v>7500</v>
      </c>
      <c r="BB17" s="94">
        <f t="shared" si="11"/>
        <v>7500</v>
      </c>
      <c r="BC17" s="94">
        <f t="shared" si="11"/>
        <v>7500</v>
      </c>
      <c r="BD17" s="94">
        <f t="shared" si="11"/>
        <v>7500</v>
      </c>
      <c r="BE17" s="94">
        <f t="shared" si="11"/>
        <v>7500</v>
      </c>
      <c r="BF17" s="94">
        <f t="shared" si="11"/>
        <v>7500</v>
      </c>
      <c r="BG17" s="94">
        <f t="shared" si="11"/>
        <v>7500</v>
      </c>
      <c r="BH17" s="94">
        <f t="shared" si="11"/>
        <v>7500</v>
      </c>
      <c r="BI17" s="94">
        <f t="shared" si="11"/>
        <v>7500</v>
      </c>
      <c r="BJ17" s="94">
        <f t="shared" si="11"/>
        <v>7500</v>
      </c>
    </row>
    <row r="18" spans="1:62" ht="13.5" thickBot="1">
      <c r="A18" s="112" t="s">
        <v>178</v>
      </c>
      <c r="B18" s="73"/>
      <c r="C18" s="117">
        <f aca="true" t="shared" si="12" ref="C18:BJ18">SUM(C14:C17)</f>
        <v>674250</v>
      </c>
      <c r="D18" s="117">
        <f t="shared" si="12"/>
        <v>668499.9999999999</v>
      </c>
      <c r="E18" s="117">
        <f t="shared" si="12"/>
        <v>662749.9999999999</v>
      </c>
      <c r="F18" s="117">
        <f t="shared" si="12"/>
        <v>656999.9999999999</v>
      </c>
      <c r="G18" s="117">
        <f t="shared" si="12"/>
        <v>651249.9999999998</v>
      </c>
      <c r="H18" s="117">
        <f t="shared" si="12"/>
        <v>645499.9999999998</v>
      </c>
      <c r="I18" s="117">
        <f t="shared" si="12"/>
        <v>639749.9999999998</v>
      </c>
      <c r="J18" s="117">
        <f t="shared" si="12"/>
        <v>633999.9999999997</v>
      </c>
      <c r="K18" s="117">
        <f t="shared" si="12"/>
        <v>628249.9999999997</v>
      </c>
      <c r="L18" s="117">
        <f t="shared" si="12"/>
        <v>622499.9999999997</v>
      </c>
      <c r="M18" s="117">
        <f t="shared" si="12"/>
        <v>616749.9999999995</v>
      </c>
      <c r="N18" s="117">
        <f t="shared" si="12"/>
        <v>610999.9999999995</v>
      </c>
      <c r="O18" s="94">
        <f t="shared" si="12"/>
        <v>605249.9999999995</v>
      </c>
      <c r="P18" s="94">
        <f t="shared" si="12"/>
        <v>599499.9999999994</v>
      </c>
      <c r="Q18" s="94">
        <f t="shared" si="12"/>
        <v>593749.9999999994</v>
      </c>
      <c r="R18" s="94">
        <f t="shared" si="12"/>
        <v>587999.9999999994</v>
      </c>
      <c r="S18" s="94">
        <f t="shared" si="12"/>
        <v>582249.9999999993</v>
      </c>
      <c r="T18" s="94">
        <f t="shared" si="12"/>
        <v>576499.9999999993</v>
      </c>
      <c r="U18" s="94">
        <f t="shared" si="12"/>
        <v>570749.9999999993</v>
      </c>
      <c r="V18" s="94">
        <f t="shared" si="12"/>
        <v>564999.9999999992</v>
      </c>
      <c r="W18" s="94">
        <f t="shared" si="12"/>
        <v>559249.9999999992</v>
      </c>
      <c r="X18" s="94">
        <f t="shared" si="12"/>
        <v>553499.9999999992</v>
      </c>
      <c r="Y18" s="94">
        <f t="shared" si="12"/>
        <v>547749.9999999991</v>
      </c>
      <c r="Z18" s="94">
        <f t="shared" si="12"/>
        <v>541999.9999999992</v>
      </c>
      <c r="AA18" s="94">
        <f t="shared" si="12"/>
        <v>536249.9999999992</v>
      </c>
      <c r="AB18" s="94">
        <f t="shared" si="12"/>
        <v>530499.9999999992</v>
      </c>
      <c r="AC18" s="94">
        <f t="shared" si="12"/>
        <v>524749.9999999992</v>
      </c>
      <c r="AD18" s="94">
        <f t="shared" si="12"/>
        <v>518999.99999999924</v>
      </c>
      <c r="AE18" s="94">
        <f t="shared" si="12"/>
        <v>513249.99999999924</v>
      </c>
      <c r="AF18" s="94">
        <f t="shared" si="12"/>
        <v>507499.99999999924</v>
      </c>
      <c r="AG18" s="94">
        <f t="shared" si="12"/>
        <v>501749.9999999993</v>
      </c>
      <c r="AH18" s="94">
        <f t="shared" si="12"/>
        <v>495999.9999999993</v>
      </c>
      <c r="AI18" s="94">
        <f t="shared" si="12"/>
        <v>490249.9999999993</v>
      </c>
      <c r="AJ18" s="94">
        <f t="shared" si="12"/>
        <v>484499.99999999936</v>
      </c>
      <c r="AK18" s="94">
        <f t="shared" si="12"/>
        <v>478749.99999999936</v>
      </c>
      <c r="AL18" s="94">
        <f t="shared" si="12"/>
        <v>472999.99999999936</v>
      </c>
      <c r="AM18" s="94">
        <f t="shared" si="12"/>
        <v>467249.9999999994</v>
      </c>
      <c r="AN18" s="94">
        <f t="shared" si="12"/>
        <v>461499.9999999994</v>
      </c>
      <c r="AO18" s="94">
        <f t="shared" si="12"/>
        <v>455749.9999999994</v>
      </c>
      <c r="AP18" s="94">
        <f t="shared" si="12"/>
        <v>449999.9999999995</v>
      </c>
      <c r="AQ18" s="94">
        <f t="shared" si="12"/>
        <v>444249.9999999995</v>
      </c>
      <c r="AR18" s="94">
        <f t="shared" si="12"/>
        <v>438499.9999999995</v>
      </c>
      <c r="AS18" s="94">
        <f t="shared" si="12"/>
        <v>432749.99999999953</v>
      </c>
      <c r="AT18" s="94">
        <f t="shared" si="12"/>
        <v>426999.99999999953</v>
      </c>
      <c r="AU18" s="94">
        <f t="shared" si="12"/>
        <v>421249.99999999953</v>
      </c>
      <c r="AV18" s="94">
        <f t="shared" si="12"/>
        <v>415499.99999999953</v>
      </c>
      <c r="AW18" s="94">
        <f t="shared" si="12"/>
        <v>409749.9999999996</v>
      </c>
      <c r="AX18" s="94">
        <f t="shared" si="12"/>
        <v>403999.9999999996</v>
      </c>
      <c r="AY18" s="94">
        <f t="shared" si="12"/>
        <v>398249.99999999965</v>
      </c>
      <c r="AZ18" s="94">
        <f t="shared" si="12"/>
        <v>392499.99999999965</v>
      </c>
      <c r="BA18" s="94">
        <f t="shared" si="12"/>
        <v>386749.99999999965</v>
      </c>
      <c r="BB18" s="94">
        <f t="shared" si="12"/>
        <v>380999.9999999997</v>
      </c>
      <c r="BC18" s="94">
        <f t="shared" si="12"/>
        <v>375249.9999999997</v>
      </c>
      <c r="BD18" s="94">
        <f t="shared" si="12"/>
        <v>369499.9999999997</v>
      </c>
      <c r="BE18" s="94">
        <f t="shared" si="12"/>
        <v>363749.99999999977</v>
      </c>
      <c r="BF18" s="94">
        <f t="shared" si="12"/>
        <v>357999.99999999977</v>
      </c>
      <c r="BG18" s="94">
        <f t="shared" si="12"/>
        <v>352249.99999999977</v>
      </c>
      <c r="BH18" s="94">
        <f t="shared" si="12"/>
        <v>346499.99999999977</v>
      </c>
      <c r="BI18" s="94">
        <f t="shared" si="12"/>
        <v>340749.9999999998</v>
      </c>
      <c r="BJ18" s="94">
        <f t="shared" si="12"/>
        <v>334999.9999999998</v>
      </c>
    </row>
    <row r="19" spans="1:62" ht="13.5" thickBot="1">
      <c r="A19" s="121"/>
      <c r="B19" s="68"/>
      <c r="C19" s="122">
        <f aca="true" t="shared" si="13" ref="C19:BJ19">C18+C10</f>
        <v>674250</v>
      </c>
      <c r="D19" s="122">
        <f t="shared" si="13"/>
        <v>668499.9999999999</v>
      </c>
      <c r="E19" s="122">
        <f t="shared" si="13"/>
        <v>662749.9999999999</v>
      </c>
      <c r="F19" s="122">
        <f t="shared" si="13"/>
        <v>656999.9999999999</v>
      </c>
      <c r="G19" s="122">
        <f t="shared" si="13"/>
        <v>651249.9999999998</v>
      </c>
      <c r="H19" s="122">
        <f t="shared" si="13"/>
        <v>645499.9999999998</v>
      </c>
      <c r="I19" s="122">
        <f t="shared" si="13"/>
        <v>639749.9999999998</v>
      </c>
      <c r="J19" s="122">
        <f t="shared" si="13"/>
        <v>633999.9999999997</v>
      </c>
      <c r="K19" s="122">
        <f t="shared" si="13"/>
        <v>628249.9999999997</v>
      </c>
      <c r="L19" s="122">
        <f t="shared" si="13"/>
        <v>622499.9999999997</v>
      </c>
      <c r="M19" s="122">
        <f t="shared" si="13"/>
        <v>616749.9999999995</v>
      </c>
      <c r="N19" s="122">
        <f t="shared" si="13"/>
        <v>610999.9999999995</v>
      </c>
      <c r="O19" s="97">
        <f t="shared" si="13"/>
        <v>605249.9999999995</v>
      </c>
      <c r="P19" s="97">
        <f t="shared" si="13"/>
        <v>599499.9999999994</v>
      </c>
      <c r="Q19" s="97">
        <f t="shared" si="13"/>
        <v>593749.9999999994</v>
      </c>
      <c r="R19" s="97">
        <f t="shared" si="13"/>
        <v>587999.9999999994</v>
      </c>
      <c r="S19" s="97">
        <f t="shared" si="13"/>
        <v>582249.9999999993</v>
      </c>
      <c r="T19" s="97">
        <f t="shared" si="13"/>
        <v>576499.9999999993</v>
      </c>
      <c r="U19" s="97">
        <f t="shared" si="13"/>
        <v>570749.9999999993</v>
      </c>
      <c r="V19" s="97">
        <f t="shared" si="13"/>
        <v>564999.9999999992</v>
      </c>
      <c r="W19" s="97">
        <f t="shared" si="13"/>
        <v>559249.9999999992</v>
      </c>
      <c r="X19" s="97">
        <f t="shared" si="13"/>
        <v>553499.9999999992</v>
      </c>
      <c r="Y19" s="97">
        <f t="shared" si="13"/>
        <v>547749.9999999991</v>
      </c>
      <c r="Z19" s="97">
        <f t="shared" si="13"/>
        <v>541999.9999999992</v>
      </c>
      <c r="AA19" s="97">
        <f t="shared" si="13"/>
        <v>536249.9999999992</v>
      </c>
      <c r="AB19" s="97">
        <f t="shared" si="13"/>
        <v>530499.9999999992</v>
      </c>
      <c r="AC19" s="97">
        <f t="shared" si="13"/>
        <v>524749.9999999992</v>
      </c>
      <c r="AD19" s="97">
        <f t="shared" si="13"/>
        <v>518999.99999999924</v>
      </c>
      <c r="AE19" s="97">
        <f t="shared" si="13"/>
        <v>513249.99999999924</v>
      </c>
      <c r="AF19" s="97">
        <f t="shared" si="13"/>
        <v>507499.99999999924</v>
      </c>
      <c r="AG19" s="97">
        <f t="shared" si="13"/>
        <v>501749.9999999993</v>
      </c>
      <c r="AH19" s="97">
        <f t="shared" si="13"/>
        <v>495999.9999999993</v>
      </c>
      <c r="AI19" s="97">
        <f t="shared" si="13"/>
        <v>490249.9999999993</v>
      </c>
      <c r="AJ19" s="97">
        <f t="shared" si="13"/>
        <v>484499.99999999936</v>
      </c>
      <c r="AK19" s="97">
        <f t="shared" si="13"/>
        <v>478749.99999999936</v>
      </c>
      <c r="AL19" s="97">
        <f t="shared" si="13"/>
        <v>472999.99999999936</v>
      </c>
      <c r="AM19" s="97">
        <f t="shared" si="13"/>
        <v>467249.9999999994</v>
      </c>
      <c r="AN19" s="97">
        <f t="shared" si="13"/>
        <v>461499.9999999994</v>
      </c>
      <c r="AO19" s="97">
        <f t="shared" si="13"/>
        <v>455749.9999999994</v>
      </c>
      <c r="AP19" s="97">
        <f t="shared" si="13"/>
        <v>449999.9999999995</v>
      </c>
      <c r="AQ19" s="97">
        <f t="shared" si="13"/>
        <v>444249.9999999995</v>
      </c>
      <c r="AR19" s="97">
        <f t="shared" si="13"/>
        <v>438499.9999999995</v>
      </c>
      <c r="AS19" s="97">
        <f t="shared" si="13"/>
        <v>432749.99999999953</v>
      </c>
      <c r="AT19" s="97">
        <f t="shared" si="13"/>
        <v>426999.99999999953</v>
      </c>
      <c r="AU19" s="97">
        <f t="shared" si="13"/>
        <v>421249.99999999953</v>
      </c>
      <c r="AV19" s="97">
        <f t="shared" si="13"/>
        <v>415499.99999999953</v>
      </c>
      <c r="AW19" s="97">
        <f t="shared" si="13"/>
        <v>409749.9999999996</v>
      </c>
      <c r="AX19" s="97">
        <f t="shared" si="13"/>
        <v>403999.9999999996</v>
      </c>
      <c r="AY19" s="97">
        <f t="shared" si="13"/>
        <v>398249.99999999965</v>
      </c>
      <c r="AZ19" s="97">
        <f t="shared" si="13"/>
        <v>392499.99999999965</v>
      </c>
      <c r="BA19" s="97">
        <f t="shared" si="13"/>
        <v>386749.99999999965</v>
      </c>
      <c r="BB19" s="97">
        <f t="shared" si="13"/>
        <v>380999.9999999997</v>
      </c>
      <c r="BC19" s="97">
        <f t="shared" si="13"/>
        <v>375249.9999999997</v>
      </c>
      <c r="BD19" s="97">
        <f t="shared" si="13"/>
        <v>369499.9999999997</v>
      </c>
      <c r="BE19" s="97">
        <f t="shared" si="13"/>
        <v>363749.99999999977</v>
      </c>
      <c r="BF19" s="97">
        <f t="shared" si="13"/>
        <v>357999.99999999977</v>
      </c>
      <c r="BG19" s="97">
        <f t="shared" si="13"/>
        <v>352249.99999999977</v>
      </c>
      <c r="BH19" s="97">
        <f t="shared" si="13"/>
        <v>346499.99999999977</v>
      </c>
      <c r="BI19" s="97">
        <f t="shared" si="13"/>
        <v>340749.9999999998</v>
      </c>
      <c r="BJ19" s="97">
        <f t="shared" si="13"/>
        <v>334999.9999999998</v>
      </c>
    </row>
    <row r="20" spans="1:62" ht="14.25" thickBot="1" thickTop="1">
      <c r="A20" s="121" t="s">
        <v>62</v>
      </c>
      <c r="B20" s="68"/>
      <c r="C20" s="123">
        <f aca="true" t="shared" si="14" ref="C20:Y20">C19+C6</f>
        <v>676080.5079172385</v>
      </c>
      <c r="D20" s="123">
        <f t="shared" si="14"/>
        <v>702621.06595408</v>
      </c>
      <c r="E20" s="123">
        <f t="shared" si="14"/>
        <v>734498.7818344221</v>
      </c>
      <c r="F20" s="123">
        <f t="shared" si="14"/>
        <v>771728.2851625608</v>
      </c>
      <c r="G20" s="123">
        <f t="shared" si="14"/>
        <v>814324.2274523422</v>
      </c>
      <c r="H20" s="123">
        <f t="shared" si="14"/>
        <v>864313.7821563531</v>
      </c>
      <c r="I20" s="123">
        <f t="shared" si="14"/>
        <v>921711.6446951462</v>
      </c>
      <c r="J20" s="123">
        <f t="shared" si="14"/>
        <v>986532.5324865031</v>
      </c>
      <c r="K20" s="123">
        <f t="shared" si="14"/>
        <v>1058791.184974733</v>
      </c>
      <c r="L20" s="123">
        <f t="shared" si="14"/>
        <v>1138502.3636600086</v>
      </c>
      <c r="M20" s="123">
        <f t="shared" si="14"/>
        <v>1225680.8521277383</v>
      </c>
      <c r="N20" s="123">
        <f t="shared" si="14"/>
        <v>1320341.4560779748</v>
      </c>
      <c r="O20" s="98">
        <f t="shared" si="14"/>
        <v>1426674.99568941</v>
      </c>
      <c r="P20" s="98">
        <f t="shared" si="14"/>
        <v>1532421.7633055844</v>
      </c>
      <c r="Q20" s="98">
        <f t="shared" si="14"/>
        <v>1645965.8404976288</v>
      </c>
      <c r="R20" s="98">
        <f t="shared" si="14"/>
        <v>1767322.6572940936</v>
      </c>
      <c r="S20" s="98">
        <f t="shared" si="14"/>
        <v>1896507.6667862767</v>
      </c>
      <c r="T20" s="98">
        <f t="shared" si="14"/>
        <v>2033536.3451589202</v>
      </c>
      <c r="U20" s="98">
        <f t="shared" si="14"/>
        <v>2178424.1917209416</v>
      </c>
      <c r="V20" s="98">
        <f t="shared" si="14"/>
        <v>2331186.7289362084</v>
      </c>
      <c r="W20" s="98">
        <f t="shared" si="14"/>
        <v>2491839.502454347</v>
      </c>
      <c r="X20" s="98">
        <f t="shared" si="14"/>
        <v>2660398.081141592</v>
      </c>
      <c r="Y20" s="98">
        <f t="shared" si="14"/>
        <v>2836878.0571116763</v>
      </c>
      <c r="Z20" s="98">
        <f>Z19+Z6</f>
        <v>3021295.045756752</v>
      </c>
      <c r="AA20" s="98">
        <f aca="true" t="shared" si="15" ref="AA20:BJ20">AA19+AA6</f>
        <v>3189070.7544742604</v>
      </c>
      <c r="AB20" s="98">
        <f t="shared" si="15"/>
        <v>3319675.869949571</v>
      </c>
      <c r="AC20" s="98">
        <f t="shared" si="15"/>
        <v>3453505.0687630386</v>
      </c>
      <c r="AD20" s="98">
        <f t="shared" si="15"/>
        <v>3590564.600564145</v>
      </c>
      <c r="AE20" s="98">
        <f t="shared" si="15"/>
        <v>3730860.7242775867</v>
      </c>
      <c r="AF20" s="98">
        <f t="shared" si="15"/>
        <v>3874399.7081155768</v>
      </c>
      <c r="AG20" s="98">
        <f t="shared" si="15"/>
        <v>4021187.8295901613</v>
      </c>
      <c r="AH20" s="98">
        <f t="shared" si="15"/>
        <v>4171231.37552555</v>
      </c>
      <c r="AI20" s="98">
        <f t="shared" si="15"/>
        <v>4324536.642070465</v>
      </c>
      <c r="AJ20" s="98">
        <f t="shared" si="15"/>
        <v>4481109.934710496</v>
      </c>
      <c r="AK20" s="98">
        <f t="shared" si="15"/>
        <v>4640957.56828049</v>
      </c>
      <c r="AL20" s="98">
        <f t="shared" si="15"/>
        <v>4804085.866976935</v>
      </c>
      <c r="AM20" s="98">
        <f t="shared" si="15"/>
        <v>4887904.657101763</v>
      </c>
      <c r="AN20" s="98">
        <f t="shared" si="15"/>
        <v>4969340.75463753</v>
      </c>
      <c r="AO20" s="98">
        <f t="shared" si="15"/>
        <v>5053893.03795201</v>
      </c>
      <c r="AP20" s="98">
        <f t="shared" si="15"/>
        <v>5141567.579436784</v>
      </c>
      <c r="AQ20" s="98">
        <f t="shared" si="15"/>
        <v>5232370.460512032</v>
      </c>
      <c r="AR20" s="98">
        <f t="shared" si="15"/>
        <v>5326307.771638515</v>
      </c>
      <c r="AS20" s="98">
        <f t="shared" si="15"/>
        <v>5423385.612329578</v>
      </c>
      <c r="AT20" s="98">
        <f t="shared" si="15"/>
        <v>5523610.09116316</v>
      </c>
      <c r="AU20" s="98">
        <f t="shared" si="15"/>
        <v>5626987.325793829</v>
      </c>
      <c r="AV20" s="98">
        <f t="shared" si="15"/>
        <v>5733523.442964818</v>
      </c>
      <c r="AW20" s="98">
        <f t="shared" si="15"/>
        <v>5843224.578520101</v>
      </c>
      <c r="AX20" s="98">
        <f t="shared" si="15"/>
        <v>5956096.877416448</v>
      </c>
      <c r="AY20" s="98">
        <f t="shared" si="15"/>
        <v>6061810.499149028</v>
      </c>
      <c r="AZ20" s="98">
        <f t="shared" si="15"/>
        <v>6170832.601523011</v>
      </c>
      <c r="BA20" s="98">
        <f t="shared" si="15"/>
        <v>6283044.356906184</v>
      </c>
      <c r="BB20" s="98">
        <f t="shared" si="15"/>
        <v>6398451.946827591</v>
      </c>
      <c r="BC20" s="98">
        <f t="shared" si="15"/>
        <v>6517061.561989682</v>
      </c>
      <c r="BD20" s="98">
        <f t="shared" si="15"/>
        <v>6638879.402280474</v>
      </c>
      <c r="BE20" s="98">
        <f t="shared" si="15"/>
        <v>6763911.676785738</v>
      </c>
      <c r="BF20" s="98">
        <f t="shared" si="15"/>
        <v>6892164.60380119</v>
      </c>
      <c r="BG20" s="98">
        <f t="shared" si="15"/>
        <v>7023644.410844703</v>
      </c>
      <c r="BH20" s="98">
        <f t="shared" si="15"/>
        <v>7158357.334668534</v>
      </c>
      <c r="BI20" s="98">
        <f t="shared" si="15"/>
        <v>7296309.621271564</v>
      </c>
      <c r="BJ20" s="98">
        <f t="shared" si="15"/>
        <v>7437507.525911555</v>
      </c>
    </row>
    <row r="21" spans="1:62" ht="13.5" thickTop="1">
      <c r="A21" s="124"/>
      <c r="B21" s="68"/>
      <c r="C21" s="125"/>
      <c r="D21" s="125"/>
      <c r="E21" s="125"/>
      <c r="F21" s="125"/>
      <c r="G21" s="125"/>
      <c r="H21" s="125"/>
      <c r="I21" s="125"/>
      <c r="J21" s="126"/>
      <c r="K21" s="125"/>
      <c r="L21" s="125"/>
      <c r="M21" s="125"/>
      <c r="N21" s="125"/>
      <c r="O21" s="99"/>
      <c r="P21" s="99"/>
      <c r="Q21" s="99"/>
      <c r="R21" s="99"/>
      <c r="S21" s="99"/>
      <c r="T21" s="99"/>
      <c r="U21" s="99"/>
      <c r="V21" s="100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</row>
    <row r="22" spans="1:14" ht="12.75">
      <c r="A22" s="142" t="s">
        <v>179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1:62" ht="12.75">
      <c r="A23" s="111" t="s">
        <v>180</v>
      </c>
      <c r="B23" s="58"/>
      <c r="C23" s="128"/>
      <c r="D23" s="128"/>
      <c r="E23" s="128"/>
      <c r="F23" s="128"/>
      <c r="G23" s="128"/>
      <c r="H23" s="128"/>
      <c r="I23" s="128"/>
      <c r="J23" s="114"/>
      <c r="K23" s="128"/>
      <c r="L23" s="128"/>
      <c r="M23" s="128"/>
      <c r="N23" s="128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</row>
    <row r="24" spans="1:62" ht="12.75">
      <c r="A24" s="112" t="s">
        <v>181</v>
      </c>
      <c r="B24" s="73"/>
      <c r="C24" s="115">
        <f>+C42</f>
        <v>0</v>
      </c>
      <c r="D24" s="115">
        <f>C24+D42</f>
        <v>0</v>
      </c>
      <c r="E24" s="115">
        <f>D24+E42</f>
        <v>0</v>
      </c>
      <c r="F24" s="115">
        <f aca="true" t="shared" si="16" ref="F24:BJ24">E24</f>
        <v>0</v>
      </c>
      <c r="G24" s="115">
        <f t="shared" si="16"/>
        <v>0</v>
      </c>
      <c r="H24" s="115">
        <f t="shared" si="16"/>
        <v>0</v>
      </c>
      <c r="I24" s="115">
        <f t="shared" si="16"/>
        <v>0</v>
      </c>
      <c r="J24" s="115">
        <f t="shared" si="16"/>
        <v>0</v>
      </c>
      <c r="K24" s="115">
        <f t="shared" si="16"/>
        <v>0</v>
      </c>
      <c r="L24" s="115">
        <f t="shared" si="16"/>
        <v>0</v>
      </c>
      <c r="M24" s="115">
        <f t="shared" si="16"/>
        <v>0</v>
      </c>
      <c r="N24" s="115">
        <f t="shared" si="16"/>
        <v>0</v>
      </c>
      <c r="O24" s="93">
        <f t="shared" si="16"/>
        <v>0</v>
      </c>
      <c r="P24" s="93">
        <f t="shared" si="16"/>
        <v>0</v>
      </c>
      <c r="Q24" s="93">
        <f t="shared" si="16"/>
        <v>0</v>
      </c>
      <c r="R24" s="93">
        <f t="shared" si="16"/>
        <v>0</v>
      </c>
      <c r="S24" s="93">
        <f t="shared" si="16"/>
        <v>0</v>
      </c>
      <c r="T24" s="93">
        <f t="shared" si="16"/>
        <v>0</v>
      </c>
      <c r="U24" s="93">
        <f t="shared" si="16"/>
        <v>0</v>
      </c>
      <c r="V24" s="93">
        <f t="shared" si="16"/>
        <v>0</v>
      </c>
      <c r="W24" s="93">
        <f t="shared" si="16"/>
        <v>0</v>
      </c>
      <c r="X24" s="93">
        <f t="shared" si="16"/>
        <v>0</v>
      </c>
      <c r="Y24" s="93">
        <f t="shared" si="16"/>
        <v>0</v>
      </c>
      <c r="Z24" s="93">
        <f t="shared" si="16"/>
        <v>0</v>
      </c>
      <c r="AA24" s="93">
        <f t="shared" si="16"/>
        <v>0</v>
      </c>
      <c r="AB24" s="93">
        <f t="shared" si="16"/>
        <v>0</v>
      </c>
      <c r="AC24" s="93">
        <f t="shared" si="16"/>
        <v>0</v>
      </c>
      <c r="AD24" s="93">
        <f t="shared" si="16"/>
        <v>0</v>
      </c>
      <c r="AE24" s="93">
        <f t="shared" si="16"/>
        <v>0</v>
      </c>
      <c r="AF24" s="93">
        <f t="shared" si="16"/>
        <v>0</v>
      </c>
      <c r="AG24" s="93">
        <f t="shared" si="16"/>
        <v>0</v>
      </c>
      <c r="AH24" s="93">
        <f t="shared" si="16"/>
        <v>0</v>
      </c>
      <c r="AI24" s="93">
        <f t="shared" si="16"/>
        <v>0</v>
      </c>
      <c r="AJ24" s="93">
        <f t="shared" si="16"/>
        <v>0</v>
      </c>
      <c r="AK24" s="93">
        <f t="shared" si="16"/>
        <v>0</v>
      </c>
      <c r="AL24" s="93">
        <f t="shared" si="16"/>
        <v>0</v>
      </c>
      <c r="AM24" s="93">
        <f t="shared" si="16"/>
        <v>0</v>
      </c>
      <c r="AN24" s="93">
        <f t="shared" si="16"/>
        <v>0</v>
      </c>
      <c r="AO24" s="93">
        <f t="shared" si="16"/>
        <v>0</v>
      </c>
      <c r="AP24" s="93">
        <f t="shared" si="16"/>
        <v>0</v>
      </c>
      <c r="AQ24" s="93">
        <f t="shared" si="16"/>
        <v>0</v>
      </c>
      <c r="AR24" s="93">
        <f t="shared" si="16"/>
        <v>0</v>
      </c>
      <c r="AS24" s="93">
        <f t="shared" si="16"/>
        <v>0</v>
      </c>
      <c r="AT24" s="93">
        <f t="shared" si="16"/>
        <v>0</v>
      </c>
      <c r="AU24" s="93">
        <f t="shared" si="16"/>
        <v>0</v>
      </c>
      <c r="AV24" s="93">
        <f t="shared" si="16"/>
        <v>0</v>
      </c>
      <c r="AW24" s="93">
        <f t="shared" si="16"/>
        <v>0</v>
      </c>
      <c r="AX24" s="93">
        <f t="shared" si="16"/>
        <v>0</v>
      </c>
      <c r="AY24" s="93">
        <f t="shared" si="16"/>
        <v>0</v>
      </c>
      <c r="AZ24" s="93">
        <f t="shared" si="16"/>
        <v>0</v>
      </c>
      <c r="BA24" s="93">
        <f t="shared" si="16"/>
        <v>0</v>
      </c>
      <c r="BB24" s="93">
        <f t="shared" si="16"/>
        <v>0</v>
      </c>
      <c r="BC24" s="93">
        <f t="shared" si="16"/>
        <v>0</v>
      </c>
      <c r="BD24" s="93">
        <f t="shared" si="16"/>
        <v>0</v>
      </c>
      <c r="BE24" s="93">
        <f t="shared" si="16"/>
        <v>0</v>
      </c>
      <c r="BF24" s="93">
        <f t="shared" si="16"/>
        <v>0</v>
      </c>
      <c r="BG24" s="93">
        <f t="shared" si="16"/>
        <v>0</v>
      </c>
      <c r="BH24" s="93">
        <f t="shared" si="16"/>
        <v>0</v>
      </c>
      <c r="BI24" s="93">
        <f t="shared" si="16"/>
        <v>0</v>
      </c>
      <c r="BJ24" s="93">
        <f t="shared" si="16"/>
        <v>0</v>
      </c>
    </row>
    <row r="25" spans="1:62" ht="12.75">
      <c r="A25" s="112" t="s">
        <v>182</v>
      </c>
      <c r="B25" s="73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</row>
    <row r="26" spans="1:62" ht="13.5" thickBot="1">
      <c r="A26" s="112" t="s">
        <v>183</v>
      </c>
      <c r="B26" s="73"/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</row>
    <row r="27" spans="1:62" ht="13.5" thickBot="1">
      <c r="A27" s="112" t="s">
        <v>184</v>
      </c>
      <c r="B27" s="64"/>
      <c r="C27" s="117">
        <f aca="true" t="shared" si="17" ref="C27:BJ27">SUM(C24:C26)</f>
        <v>0</v>
      </c>
      <c r="D27" s="117">
        <f t="shared" si="17"/>
        <v>0</v>
      </c>
      <c r="E27" s="117">
        <f t="shared" si="17"/>
        <v>0</v>
      </c>
      <c r="F27" s="117">
        <f t="shared" si="17"/>
        <v>0</v>
      </c>
      <c r="G27" s="117">
        <f t="shared" si="17"/>
        <v>0</v>
      </c>
      <c r="H27" s="117">
        <f t="shared" si="17"/>
        <v>0</v>
      </c>
      <c r="I27" s="117">
        <f t="shared" si="17"/>
        <v>0</v>
      </c>
      <c r="J27" s="117">
        <f t="shared" si="17"/>
        <v>0</v>
      </c>
      <c r="K27" s="117">
        <f t="shared" si="17"/>
        <v>0</v>
      </c>
      <c r="L27" s="117">
        <f t="shared" si="17"/>
        <v>0</v>
      </c>
      <c r="M27" s="117">
        <f t="shared" si="17"/>
        <v>0</v>
      </c>
      <c r="N27" s="117">
        <f t="shared" si="17"/>
        <v>0</v>
      </c>
      <c r="O27" s="94">
        <f t="shared" si="17"/>
        <v>0</v>
      </c>
      <c r="P27" s="94">
        <f t="shared" si="17"/>
        <v>0</v>
      </c>
      <c r="Q27" s="94">
        <f t="shared" si="17"/>
        <v>0</v>
      </c>
      <c r="R27" s="94">
        <f t="shared" si="17"/>
        <v>0</v>
      </c>
      <c r="S27" s="94">
        <f t="shared" si="17"/>
        <v>0</v>
      </c>
      <c r="T27" s="94">
        <f t="shared" si="17"/>
        <v>0</v>
      </c>
      <c r="U27" s="94">
        <f t="shared" si="17"/>
        <v>0</v>
      </c>
      <c r="V27" s="94">
        <f t="shared" si="17"/>
        <v>0</v>
      </c>
      <c r="W27" s="94">
        <f t="shared" si="17"/>
        <v>0</v>
      </c>
      <c r="X27" s="94">
        <f t="shared" si="17"/>
        <v>0</v>
      </c>
      <c r="Y27" s="94">
        <f t="shared" si="17"/>
        <v>0</v>
      </c>
      <c r="Z27" s="94">
        <f t="shared" si="17"/>
        <v>0</v>
      </c>
      <c r="AA27" s="94">
        <f t="shared" si="17"/>
        <v>0</v>
      </c>
      <c r="AB27" s="94">
        <f t="shared" si="17"/>
        <v>0</v>
      </c>
      <c r="AC27" s="94">
        <f t="shared" si="17"/>
        <v>0</v>
      </c>
      <c r="AD27" s="94">
        <f t="shared" si="17"/>
        <v>0</v>
      </c>
      <c r="AE27" s="94">
        <f t="shared" si="17"/>
        <v>0</v>
      </c>
      <c r="AF27" s="94">
        <f t="shared" si="17"/>
        <v>0</v>
      </c>
      <c r="AG27" s="94">
        <f t="shared" si="17"/>
        <v>0</v>
      </c>
      <c r="AH27" s="94">
        <f t="shared" si="17"/>
        <v>0</v>
      </c>
      <c r="AI27" s="94">
        <f t="shared" si="17"/>
        <v>0</v>
      </c>
      <c r="AJ27" s="94">
        <f t="shared" si="17"/>
        <v>0</v>
      </c>
      <c r="AK27" s="94">
        <f t="shared" si="17"/>
        <v>0</v>
      </c>
      <c r="AL27" s="94">
        <f t="shared" si="17"/>
        <v>0</v>
      </c>
      <c r="AM27" s="94">
        <f t="shared" si="17"/>
        <v>0</v>
      </c>
      <c r="AN27" s="94">
        <f t="shared" si="17"/>
        <v>0</v>
      </c>
      <c r="AO27" s="94">
        <f t="shared" si="17"/>
        <v>0</v>
      </c>
      <c r="AP27" s="94">
        <f t="shared" si="17"/>
        <v>0</v>
      </c>
      <c r="AQ27" s="94">
        <f t="shared" si="17"/>
        <v>0</v>
      </c>
      <c r="AR27" s="94">
        <f t="shared" si="17"/>
        <v>0</v>
      </c>
      <c r="AS27" s="94">
        <f t="shared" si="17"/>
        <v>0</v>
      </c>
      <c r="AT27" s="94">
        <f t="shared" si="17"/>
        <v>0</v>
      </c>
      <c r="AU27" s="94">
        <f t="shared" si="17"/>
        <v>0</v>
      </c>
      <c r="AV27" s="94">
        <f t="shared" si="17"/>
        <v>0</v>
      </c>
      <c r="AW27" s="94">
        <f t="shared" si="17"/>
        <v>0</v>
      </c>
      <c r="AX27" s="94">
        <f t="shared" si="17"/>
        <v>0</v>
      </c>
      <c r="AY27" s="94">
        <f t="shared" si="17"/>
        <v>0</v>
      </c>
      <c r="AZ27" s="94">
        <f t="shared" si="17"/>
        <v>0</v>
      </c>
      <c r="BA27" s="94">
        <f t="shared" si="17"/>
        <v>0</v>
      </c>
      <c r="BB27" s="94">
        <f t="shared" si="17"/>
        <v>0</v>
      </c>
      <c r="BC27" s="94">
        <f t="shared" si="17"/>
        <v>0</v>
      </c>
      <c r="BD27" s="94">
        <f t="shared" si="17"/>
        <v>0</v>
      </c>
      <c r="BE27" s="94">
        <f t="shared" si="17"/>
        <v>0</v>
      </c>
      <c r="BF27" s="94">
        <f t="shared" si="17"/>
        <v>0</v>
      </c>
      <c r="BG27" s="94">
        <f t="shared" si="17"/>
        <v>0</v>
      </c>
      <c r="BH27" s="94">
        <f t="shared" si="17"/>
        <v>0</v>
      </c>
      <c r="BI27" s="94">
        <f t="shared" si="17"/>
        <v>0</v>
      </c>
      <c r="BJ27" s="94">
        <f t="shared" si="17"/>
        <v>0</v>
      </c>
    </row>
    <row r="28" spans="1:62" ht="12.75">
      <c r="A28" s="138" t="s">
        <v>185</v>
      </c>
      <c r="B28" s="87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</row>
    <row r="29" spans="1:62" ht="12.75">
      <c r="A29" s="112" t="s">
        <v>186</v>
      </c>
      <c r="B29" s="58"/>
      <c r="C29" s="115">
        <v>0</v>
      </c>
      <c r="D29" s="115">
        <f aca="true" t="shared" si="18" ref="D29:BJ29">C29*0.98</f>
        <v>0</v>
      </c>
      <c r="E29" s="115">
        <f t="shared" si="18"/>
        <v>0</v>
      </c>
      <c r="F29" s="115">
        <f t="shared" si="18"/>
        <v>0</v>
      </c>
      <c r="G29" s="115">
        <f t="shared" si="18"/>
        <v>0</v>
      </c>
      <c r="H29" s="115">
        <f t="shared" si="18"/>
        <v>0</v>
      </c>
      <c r="I29" s="115">
        <f t="shared" si="18"/>
        <v>0</v>
      </c>
      <c r="J29" s="115">
        <f t="shared" si="18"/>
        <v>0</v>
      </c>
      <c r="K29" s="115">
        <f t="shared" si="18"/>
        <v>0</v>
      </c>
      <c r="L29" s="115">
        <f t="shared" si="18"/>
        <v>0</v>
      </c>
      <c r="M29" s="115">
        <f t="shared" si="18"/>
        <v>0</v>
      </c>
      <c r="N29" s="115">
        <f t="shared" si="18"/>
        <v>0</v>
      </c>
      <c r="O29" s="93">
        <f t="shared" si="18"/>
        <v>0</v>
      </c>
      <c r="P29" s="93">
        <f t="shared" si="18"/>
        <v>0</v>
      </c>
      <c r="Q29" s="93">
        <f t="shared" si="18"/>
        <v>0</v>
      </c>
      <c r="R29" s="93">
        <f t="shared" si="18"/>
        <v>0</v>
      </c>
      <c r="S29" s="93">
        <f t="shared" si="18"/>
        <v>0</v>
      </c>
      <c r="T29" s="93">
        <f t="shared" si="18"/>
        <v>0</v>
      </c>
      <c r="U29" s="93">
        <f t="shared" si="18"/>
        <v>0</v>
      </c>
      <c r="V29" s="93">
        <f t="shared" si="18"/>
        <v>0</v>
      </c>
      <c r="W29" s="93">
        <f t="shared" si="18"/>
        <v>0</v>
      </c>
      <c r="X29" s="93">
        <f t="shared" si="18"/>
        <v>0</v>
      </c>
      <c r="Y29" s="93">
        <f t="shared" si="18"/>
        <v>0</v>
      </c>
      <c r="Z29" s="93">
        <f t="shared" si="18"/>
        <v>0</v>
      </c>
      <c r="AA29" s="93">
        <f t="shared" si="18"/>
        <v>0</v>
      </c>
      <c r="AB29" s="93">
        <f t="shared" si="18"/>
        <v>0</v>
      </c>
      <c r="AC29" s="93">
        <f t="shared" si="18"/>
        <v>0</v>
      </c>
      <c r="AD29" s="93">
        <f t="shared" si="18"/>
        <v>0</v>
      </c>
      <c r="AE29" s="93">
        <f t="shared" si="18"/>
        <v>0</v>
      </c>
      <c r="AF29" s="93">
        <f t="shared" si="18"/>
        <v>0</v>
      </c>
      <c r="AG29" s="93">
        <f t="shared" si="18"/>
        <v>0</v>
      </c>
      <c r="AH29" s="93">
        <f t="shared" si="18"/>
        <v>0</v>
      </c>
      <c r="AI29" s="93">
        <f t="shared" si="18"/>
        <v>0</v>
      </c>
      <c r="AJ29" s="93">
        <f t="shared" si="18"/>
        <v>0</v>
      </c>
      <c r="AK29" s="93">
        <f t="shared" si="18"/>
        <v>0</v>
      </c>
      <c r="AL29" s="93">
        <f t="shared" si="18"/>
        <v>0</v>
      </c>
      <c r="AM29" s="93">
        <f t="shared" si="18"/>
        <v>0</v>
      </c>
      <c r="AN29" s="93">
        <f t="shared" si="18"/>
        <v>0</v>
      </c>
      <c r="AO29" s="93">
        <f t="shared" si="18"/>
        <v>0</v>
      </c>
      <c r="AP29" s="93">
        <f t="shared" si="18"/>
        <v>0</v>
      </c>
      <c r="AQ29" s="93">
        <f t="shared" si="18"/>
        <v>0</v>
      </c>
      <c r="AR29" s="93">
        <f t="shared" si="18"/>
        <v>0</v>
      </c>
      <c r="AS29" s="93">
        <f t="shared" si="18"/>
        <v>0</v>
      </c>
      <c r="AT29" s="93">
        <f t="shared" si="18"/>
        <v>0</v>
      </c>
      <c r="AU29" s="93">
        <f t="shared" si="18"/>
        <v>0</v>
      </c>
      <c r="AV29" s="93">
        <f t="shared" si="18"/>
        <v>0</v>
      </c>
      <c r="AW29" s="93">
        <f t="shared" si="18"/>
        <v>0</v>
      </c>
      <c r="AX29" s="93">
        <f t="shared" si="18"/>
        <v>0</v>
      </c>
      <c r="AY29" s="93">
        <f t="shared" si="18"/>
        <v>0</v>
      </c>
      <c r="AZ29" s="93">
        <f t="shared" si="18"/>
        <v>0</v>
      </c>
      <c r="BA29" s="93">
        <f t="shared" si="18"/>
        <v>0</v>
      </c>
      <c r="BB29" s="93">
        <f t="shared" si="18"/>
        <v>0</v>
      </c>
      <c r="BC29" s="93">
        <f t="shared" si="18"/>
        <v>0</v>
      </c>
      <c r="BD29" s="93">
        <f t="shared" si="18"/>
        <v>0</v>
      </c>
      <c r="BE29" s="93">
        <f t="shared" si="18"/>
        <v>0</v>
      </c>
      <c r="BF29" s="93">
        <f t="shared" si="18"/>
        <v>0</v>
      </c>
      <c r="BG29" s="93">
        <f t="shared" si="18"/>
        <v>0</v>
      </c>
      <c r="BH29" s="93">
        <f t="shared" si="18"/>
        <v>0</v>
      </c>
      <c r="BI29" s="93">
        <f t="shared" si="18"/>
        <v>0</v>
      </c>
      <c r="BJ29" s="93">
        <f t="shared" si="18"/>
        <v>0</v>
      </c>
    </row>
    <row r="30" spans="1:62" ht="15.75" thickBot="1">
      <c r="A30" s="112" t="s">
        <v>187</v>
      </c>
      <c r="B30" s="129"/>
      <c r="C30" s="117">
        <f aca="true" t="shared" si="19" ref="C30:AD30">SUM(C29:C29)</f>
        <v>0</v>
      </c>
      <c r="D30" s="117">
        <f t="shared" si="19"/>
        <v>0</v>
      </c>
      <c r="E30" s="117">
        <f t="shared" si="19"/>
        <v>0</v>
      </c>
      <c r="F30" s="117">
        <f t="shared" si="19"/>
        <v>0</v>
      </c>
      <c r="G30" s="117">
        <f t="shared" si="19"/>
        <v>0</v>
      </c>
      <c r="H30" s="117">
        <f t="shared" si="19"/>
        <v>0</v>
      </c>
      <c r="I30" s="117">
        <f t="shared" si="19"/>
        <v>0</v>
      </c>
      <c r="J30" s="117">
        <f t="shared" si="19"/>
        <v>0</v>
      </c>
      <c r="K30" s="117">
        <f t="shared" si="19"/>
        <v>0</v>
      </c>
      <c r="L30" s="117">
        <f t="shared" si="19"/>
        <v>0</v>
      </c>
      <c r="M30" s="117">
        <f t="shared" si="19"/>
        <v>0</v>
      </c>
      <c r="N30" s="117">
        <f t="shared" si="19"/>
        <v>0</v>
      </c>
      <c r="O30" s="94">
        <f t="shared" si="19"/>
        <v>0</v>
      </c>
      <c r="P30" s="94">
        <f t="shared" si="19"/>
        <v>0</v>
      </c>
      <c r="Q30" s="94">
        <f t="shared" si="19"/>
        <v>0</v>
      </c>
      <c r="R30" s="94">
        <f t="shared" si="19"/>
        <v>0</v>
      </c>
      <c r="S30" s="94">
        <f t="shared" si="19"/>
        <v>0</v>
      </c>
      <c r="T30" s="94">
        <f t="shared" si="19"/>
        <v>0</v>
      </c>
      <c r="U30" s="94">
        <f t="shared" si="19"/>
        <v>0</v>
      </c>
      <c r="V30" s="94">
        <f t="shared" si="19"/>
        <v>0</v>
      </c>
      <c r="W30" s="94">
        <f t="shared" si="19"/>
        <v>0</v>
      </c>
      <c r="X30" s="94">
        <f t="shared" si="19"/>
        <v>0</v>
      </c>
      <c r="Y30" s="94">
        <f t="shared" si="19"/>
        <v>0</v>
      </c>
      <c r="Z30" s="94">
        <f t="shared" si="19"/>
        <v>0</v>
      </c>
      <c r="AA30" s="94">
        <f t="shared" si="19"/>
        <v>0</v>
      </c>
      <c r="AB30" s="94">
        <f t="shared" si="19"/>
        <v>0</v>
      </c>
      <c r="AC30" s="94">
        <f t="shared" si="19"/>
        <v>0</v>
      </c>
      <c r="AD30" s="94">
        <f t="shared" si="19"/>
        <v>0</v>
      </c>
      <c r="AE30" s="94">
        <f aca="true" t="shared" si="20" ref="AE30:BJ30">SUM(AE29:AE29)</f>
        <v>0</v>
      </c>
      <c r="AF30" s="94">
        <f t="shared" si="20"/>
        <v>0</v>
      </c>
      <c r="AG30" s="94">
        <f t="shared" si="20"/>
        <v>0</v>
      </c>
      <c r="AH30" s="94">
        <f t="shared" si="20"/>
        <v>0</v>
      </c>
      <c r="AI30" s="94">
        <f t="shared" si="20"/>
        <v>0</v>
      </c>
      <c r="AJ30" s="94">
        <f t="shared" si="20"/>
        <v>0</v>
      </c>
      <c r="AK30" s="94">
        <f t="shared" si="20"/>
        <v>0</v>
      </c>
      <c r="AL30" s="94">
        <f t="shared" si="20"/>
        <v>0</v>
      </c>
      <c r="AM30" s="94">
        <f t="shared" si="20"/>
        <v>0</v>
      </c>
      <c r="AN30" s="94">
        <f t="shared" si="20"/>
        <v>0</v>
      </c>
      <c r="AO30" s="94">
        <f t="shared" si="20"/>
        <v>0</v>
      </c>
      <c r="AP30" s="94">
        <f t="shared" si="20"/>
        <v>0</v>
      </c>
      <c r="AQ30" s="94">
        <f t="shared" si="20"/>
        <v>0</v>
      </c>
      <c r="AR30" s="94">
        <f t="shared" si="20"/>
        <v>0</v>
      </c>
      <c r="AS30" s="94">
        <f t="shared" si="20"/>
        <v>0</v>
      </c>
      <c r="AT30" s="94">
        <f t="shared" si="20"/>
        <v>0</v>
      </c>
      <c r="AU30" s="94">
        <f t="shared" si="20"/>
        <v>0</v>
      </c>
      <c r="AV30" s="94">
        <f t="shared" si="20"/>
        <v>0</v>
      </c>
      <c r="AW30" s="94">
        <f t="shared" si="20"/>
        <v>0</v>
      </c>
      <c r="AX30" s="94">
        <f t="shared" si="20"/>
        <v>0</v>
      </c>
      <c r="AY30" s="94">
        <f t="shared" si="20"/>
        <v>0</v>
      </c>
      <c r="AZ30" s="94">
        <f t="shared" si="20"/>
        <v>0</v>
      </c>
      <c r="BA30" s="94">
        <f t="shared" si="20"/>
        <v>0</v>
      </c>
      <c r="BB30" s="94">
        <f t="shared" si="20"/>
        <v>0</v>
      </c>
      <c r="BC30" s="94">
        <f t="shared" si="20"/>
        <v>0</v>
      </c>
      <c r="BD30" s="94">
        <f t="shared" si="20"/>
        <v>0</v>
      </c>
      <c r="BE30" s="94">
        <f t="shared" si="20"/>
        <v>0</v>
      </c>
      <c r="BF30" s="94">
        <f t="shared" si="20"/>
        <v>0</v>
      </c>
      <c r="BG30" s="94">
        <f t="shared" si="20"/>
        <v>0</v>
      </c>
      <c r="BH30" s="94">
        <f t="shared" si="20"/>
        <v>0</v>
      </c>
      <c r="BI30" s="94">
        <f t="shared" si="20"/>
        <v>0</v>
      </c>
      <c r="BJ30" s="94">
        <f t="shared" si="20"/>
        <v>0</v>
      </c>
    </row>
    <row r="31" spans="1:62" ht="15.75" thickBot="1">
      <c r="A31" s="112" t="s">
        <v>188</v>
      </c>
      <c r="B31" s="130"/>
      <c r="C31" s="117">
        <f aca="true" t="shared" si="21" ref="C31:BJ31">C30+C27</f>
        <v>0</v>
      </c>
      <c r="D31" s="117">
        <f t="shared" si="21"/>
        <v>0</v>
      </c>
      <c r="E31" s="117">
        <f t="shared" si="21"/>
        <v>0</v>
      </c>
      <c r="F31" s="117">
        <f t="shared" si="21"/>
        <v>0</v>
      </c>
      <c r="G31" s="117">
        <f t="shared" si="21"/>
        <v>0</v>
      </c>
      <c r="H31" s="117">
        <f t="shared" si="21"/>
        <v>0</v>
      </c>
      <c r="I31" s="117">
        <f t="shared" si="21"/>
        <v>0</v>
      </c>
      <c r="J31" s="117">
        <f t="shared" si="21"/>
        <v>0</v>
      </c>
      <c r="K31" s="117">
        <f t="shared" si="21"/>
        <v>0</v>
      </c>
      <c r="L31" s="117">
        <f t="shared" si="21"/>
        <v>0</v>
      </c>
      <c r="M31" s="117">
        <f t="shared" si="21"/>
        <v>0</v>
      </c>
      <c r="N31" s="117">
        <f t="shared" si="21"/>
        <v>0</v>
      </c>
      <c r="O31" s="94">
        <f t="shared" si="21"/>
        <v>0</v>
      </c>
      <c r="P31" s="94">
        <f t="shared" si="21"/>
        <v>0</v>
      </c>
      <c r="Q31" s="94">
        <f t="shared" si="21"/>
        <v>0</v>
      </c>
      <c r="R31" s="94">
        <f t="shared" si="21"/>
        <v>0</v>
      </c>
      <c r="S31" s="94">
        <f t="shared" si="21"/>
        <v>0</v>
      </c>
      <c r="T31" s="94">
        <f t="shared" si="21"/>
        <v>0</v>
      </c>
      <c r="U31" s="94">
        <f t="shared" si="21"/>
        <v>0</v>
      </c>
      <c r="V31" s="94">
        <f t="shared" si="21"/>
        <v>0</v>
      </c>
      <c r="W31" s="94">
        <f t="shared" si="21"/>
        <v>0</v>
      </c>
      <c r="X31" s="94">
        <f t="shared" si="21"/>
        <v>0</v>
      </c>
      <c r="Y31" s="94">
        <f t="shared" si="21"/>
        <v>0</v>
      </c>
      <c r="Z31" s="94">
        <f t="shared" si="21"/>
        <v>0</v>
      </c>
      <c r="AA31" s="94">
        <f t="shared" si="21"/>
        <v>0</v>
      </c>
      <c r="AB31" s="94">
        <f t="shared" si="21"/>
        <v>0</v>
      </c>
      <c r="AC31" s="94">
        <f t="shared" si="21"/>
        <v>0</v>
      </c>
      <c r="AD31" s="94">
        <f t="shared" si="21"/>
        <v>0</v>
      </c>
      <c r="AE31" s="94">
        <f t="shared" si="21"/>
        <v>0</v>
      </c>
      <c r="AF31" s="94">
        <f t="shared" si="21"/>
        <v>0</v>
      </c>
      <c r="AG31" s="94">
        <f t="shared" si="21"/>
        <v>0</v>
      </c>
      <c r="AH31" s="94">
        <f t="shared" si="21"/>
        <v>0</v>
      </c>
      <c r="AI31" s="94">
        <f t="shared" si="21"/>
        <v>0</v>
      </c>
      <c r="AJ31" s="94">
        <f t="shared" si="21"/>
        <v>0</v>
      </c>
      <c r="AK31" s="94">
        <f t="shared" si="21"/>
        <v>0</v>
      </c>
      <c r="AL31" s="94">
        <f t="shared" si="21"/>
        <v>0</v>
      </c>
      <c r="AM31" s="94">
        <f t="shared" si="21"/>
        <v>0</v>
      </c>
      <c r="AN31" s="94">
        <f t="shared" si="21"/>
        <v>0</v>
      </c>
      <c r="AO31" s="94">
        <f t="shared" si="21"/>
        <v>0</v>
      </c>
      <c r="AP31" s="94">
        <f t="shared" si="21"/>
        <v>0</v>
      </c>
      <c r="AQ31" s="94">
        <f t="shared" si="21"/>
        <v>0</v>
      </c>
      <c r="AR31" s="94">
        <f t="shared" si="21"/>
        <v>0</v>
      </c>
      <c r="AS31" s="94">
        <f t="shared" si="21"/>
        <v>0</v>
      </c>
      <c r="AT31" s="94">
        <f t="shared" si="21"/>
        <v>0</v>
      </c>
      <c r="AU31" s="94">
        <f t="shared" si="21"/>
        <v>0</v>
      </c>
      <c r="AV31" s="94">
        <f t="shared" si="21"/>
        <v>0</v>
      </c>
      <c r="AW31" s="94">
        <f t="shared" si="21"/>
        <v>0</v>
      </c>
      <c r="AX31" s="94">
        <f t="shared" si="21"/>
        <v>0</v>
      </c>
      <c r="AY31" s="94">
        <f t="shared" si="21"/>
        <v>0</v>
      </c>
      <c r="AZ31" s="94">
        <f t="shared" si="21"/>
        <v>0</v>
      </c>
      <c r="BA31" s="94">
        <f t="shared" si="21"/>
        <v>0</v>
      </c>
      <c r="BB31" s="94">
        <f t="shared" si="21"/>
        <v>0</v>
      </c>
      <c r="BC31" s="94">
        <f t="shared" si="21"/>
        <v>0</v>
      </c>
      <c r="BD31" s="94">
        <f t="shared" si="21"/>
        <v>0</v>
      </c>
      <c r="BE31" s="94">
        <f t="shared" si="21"/>
        <v>0</v>
      </c>
      <c r="BF31" s="94">
        <f t="shared" si="21"/>
        <v>0</v>
      </c>
      <c r="BG31" s="94">
        <f t="shared" si="21"/>
        <v>0</v>
      </c>
      <c r="BH31" s="94">
        <f t="shared" si="21"/>
        <v>0</v>
      </c>
      <c r="BI31" s="94">
        <f t="shared" si="21"/>
        <v>0</v>
      </c>
      <c r="BJ31" s="94">
        <f t="shared" si="21"/>
        <v>0</v>
      </c>
    </row>
    <row r="32" spans="1:62" ht="15">
      <c r="A32" s="138" t="s">
        <v>189</v>
      </c>
      <c r="B32" s="146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</row>
    <row r="33" spans="1:62" ht="15">
      <c r="A33" s="111" t="s">
        <v>190</v>
      </c>
      <c r="B33" s="130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</row>
    <row r="34" spans="1:14" ht="15">
      <c r="A34" s="112"/>
      <c r="C34" s="127"/>
      <c r="D34" s="127"/>
      <c r="E34" s="127"/>
      <c r="F34" s="127"/>
      <c r="G34" s="131"/>
      <c r="H34" s="127"/>
      <c r="I34" s="127"/>
      <c r="J34" s="127"/>
      <c r="K34" s="127"/>
      <c r="L34" s="127"/>
      <c r="M34" s="127"/>
      <c r="N34" s="127"/>
    </row>
    <row r="35" spans="1:62" ht="15">
      <c r="A35" s="112" t="s">
        <v>191</v>
      </c>
      <c r="C35" s="115">
        <f>+C47</f>
        <v>680000</v>
      </c>
      <c r="D35" s="115">
        <f>+C35+D47</f>
        <v>680000</v>
      </c>
      <c r="E35" s="115">
        <f aca="true" t="shared" si="22" ref="E35:BJ35">+D35+E47</f>
        <v>680000</v>
      </c>
      <c r="F35" s="115">
        <f t="shared" si="22"/>
        <v>680000</v>
      </c>
      <c r="G35" s="115">
        <f t="shared" si="22"/>
        <v>680000</v>
      </c>
      <c r="H35" s="115">
        <f t="shared" si="22"/>
        <v>680000</v>
      </c>
      <c r="I35" s="115">
        <f t="shared" si="22"/>
        <v>680000</v>
      </c>
      <c r="J35" s="115">
        <f t="shared" si="22"/>
        <v>680000</v>
      </c>
      <c r="K35" s="115">
        <f t="shared" si="22"/>
        <v>680000</v>
      </c>
      <c r="L35" s="115">
        <f t="shared" si="22"/>
        <v>680000</v>
      </c>
      <c r="M35" s="115">
        <f t="shared" si="22"/>
        <v>680000</v>
      </c>
      <c r="N35" s="115">
        <f t="shared" si="22"/>
        <v>680000</v>
      </c>
      <c r="O35" s="93">
        <f t="shared" si="22"/>
        <v>680000</v>
      </c>
      <c r="P35" s="93">
        <f t="shared" si="22"/>
        <v>680000</v>
      </c>
      <c r="Q35" s="93">
        <f t="shared" si="22"/>
        <v>680000</v>
      </c>
      <c r="R35" s="93">
        <f t="shared" si="22"/>
        <v>680000</v>
      </c>
      <c r="S35" s="93">
        <f t="shared" si="22"/>
        <v>680000</v>
      </c>
      <c r="T35" s="93">
        <f t="shared" si="22"/>
        <v>680000</v>
      </c>
      <c r="U35" s="93">
        <f t="shared" si="22"/>
        <v>680000</v>
      </c>
      <c r="V35" s="93">
        <f t="shared" si="22"/>
        <v>680000</v>
      </c>
      <c r="W35" s="93">
        <f t="shared" si="22"/>
        <v>680000</v>
      </c>
      <c r="X35" s="93">
        <f t="shared" si="22"/>
        <v>680000</v>
      </c>
      <c r="Y35" s="93">
        <f t="shared" si="22"/>
        <v>680000</v>
      </c>
      <c r="Z35" s="93">
        <f t="shared" si="22"/>
        <v>680000</v>
      </c>
      <c r="AA35" s="93">
        <f t="shared" si="22"/>
        <v>680000</v>
      </c>
      <c r="AB35" s="93">
        <f t="shared" si="22"/>
        <v>680000</v>
      </c>
      <c r="AC35" s="93">
        <f t="shared" si="22"/>
        <v>680000</v>
      </c>
      <c r="AD35" s="93">
        <f t="shared" si="22"/>
        <v>680000</v>
      </c>
      <c r="AE35" s="93">
        <f t="shared" si="22"/>
        <v>680000</v>
      </c>
      <c r="AF35" s="93">
        <f t="shared" si="22"/>
        <v>680000</v>
      </c>
      <c r="AG35" s="93">
        <f t="shared" si="22"/>
        <v>680000</v>
      </c>
      <c r="AH35" s="93">
        <f t="shared" si="22"/>
        <v>680000</v>
      </c>
      <c r="AI35" s="93">
        <f t="shared" si="22"/>
        <v>680000</v>
      </c>
      <c r="AJ35" s="93">
        <f t="shared" si="22"/>
        <v>680000</v>
      </c>
      <c r="AK35" s="93">
        <f t="shared" si="22"/>
        <v>680000</v>
      </c>
      <c r="AL35" s="93">
        <f t="shared" si="22"/>
        <v>680000</v>
      </c>
      <c r="AM35" s="93">
        <f t="shared" si="22"/>
        <v>680000</v>
      </c>
      <c r="AN35" s="93">
        <f t="shared" si="22"/>
        <v>680000</v>
      </c>
      <c r="AO35" s="93">
        <f t="shared" si="22"/>
        <v>680000</v>
      </c>
      <c r="AP35" s="93">
        <f t="shared" si="22"/>
        <v>680000</v>
      </c>
      <c r="AQ35" s="93">
        <f t="shared" si="22"/>
        <v>680000</v>
      </c>
      <c r="AR35" s="93">
        <f t="shared" si="22"/>
        <v>680000</v>
      </c>
      <c r="AS35" s="93">
        <f t="shared" si="22"/>
        <v>680000</v>
      </c>
      <c r="AT35" s="93">
        <f t="shared" si="22"/>
        <v>680000</v>
      </c>
      <c r="AU35" s="93">
        <f t="shared" si="22"/>
        <v>680000</v>
      </c>
      <c r="AV35" s="93">
        <f t="shared" si="22"/>
        <v>680000</v>
      </c>
      <c r="AW35" s="93">
        <f t="shared" si="22"/>
        <v>680000</v>
      </c>
      <c r="AX35" s="93">
        <f t="shared" si="22"/>
        <v>680000</v>
      </c>
      <c r="AY35" s="93">
        <f t="shared" si="22"/>
        <v>680000</v>
      </c>
      <c r="AZ35" s="93">
        <f t="shared" si="22"/>
        <v>680000</v>
      </c>
      <c r="BA35" s="93">
        <f t="shared" si="22"/>
        <v>680000</v>
      </c>
      <c r="BB35" s="93">
        <f t="shared" si="22"/>
        <v>680000</v>
      </c>
      <c r="BC35" s="93">
        <f t="shared" si="22"/>
        <v>680000</v>
      </c>
      <c r="BD35" s="93">
        <f t="shared" si="22"/>
        <v>680000</v>
      </c>
      <c r="BE35" s="93">
        <f t="shared" si="22"/>
        <v>680000</v>
      </c>
      <c r="BF35" s="93">
        <f t="shared" si="22"/>
        <v>680000</v>
      </c>
      <c r="BG35" s="93">
        <f t="shared" si="22"/>
        <v>680000</v>
      </c>
      <c r="BH35" s="93">
        <f t="shared" si="22"/>
        <v>680000</v>
      </c>
      <c r="BI35" s="93">
        <f t="shared" si="22"/>
        <v>680000</v>
      </c>
      <c r="BJ35" s="93">
        <f t="shared" si="22"/>
        <v>680000</v>
      </c>
    </row>
    <row r="36" spans="1:62" ht="12.75">
      <c r="A36" s="112" t="s">
        <v>192</v>
      </c>
      <c r="B36" s="132"/>
      <c r="C36" s="115">
        <v>0</v>
      </c>
      <c r="D36" s="115">
        <f>C36+D47+D46-((SUM(D34:D35))-SUM(C34:C35))-D47</f>
        <v>0</v>
      </c>
      <c r="E36" s="115">
        <f>D36+E47+E46-((SUM(E34:E35))-SUM(D34:D35))-E47</f>
        <v>0</v>
      </c>
      <c r="F36" s="115">
        <f aca="true" t="shared" si="23" ref="F36:BJ36">E36+F47+F46-((SUM(F34:F35))-SUM(E34:E35))</f>
        <v>0</v>
      </c>
      <c r="G36" s="115">
        <f t="shared" si="23"/>
        <v>0</v>
      </c>
      <c r="H36" s="115">
        <f t="shared" si="23"/>
        <v>0</v>
      </c>
      <c r="I36" s="115">
        <f t="shared" si="23"/>
        <v>0</v>
      </c>
      <c r="J36" s="115">
        <f t="shared" si="23"/>
        <v>0</v>
      </c>
      <c r="K36" s="115">
        <f t="shared" si="23"/>
        <v>0</v>
      </c>
      <c r="L36" s="115">
        <f t="shared" si="23"/>
        <v>0</v>
      </c>
      <c r="M36" s="115">
        <f t="shared" si="23"/>
        <v>0</v>
      </c>
      <c r="N36" s="115">
        <f t="shared" si="23"/>
        <v>0</v>
      </c>
      <c r="O36" s="93">
        <f t="shared" si="23"/>
        <v>0</v>
      </c>
      <c r="P36" s="93">
        <f t="shared" si="23"/>
        <v>0</v>
      </c>
      <c r="Q36" s="93">
        <f t="shared" si="23"/>
        <v>0</v>
      </c>
      <c r="R36" s="93">
        <f t="shared" si="23"/>
        <v>0</v>
      </c>
      <c r="S36" s="93">
        <f t="shared" si="23"/>
        <v>0</v>
      </c>
      <c r="T36" s="93">
        <f t="shared" si="23"/>
        <v>0</v>
      </c>
      <c r="U36" s="93">
        <f t="shared" si="23"/>
        <v>0</v>
      </c>
      <c r="V36" s="93">
        <f t="shared" si="23"/>
        <v>0</v>
      </c>
      <c r="W36" s="93">
        <f t="shared" si="23"/>
        <v>0</v>
      </c>
      <c r="X36" s="93">
        <f t="shared" si="23"/>
        <v>0</v>
      </c>
      <c r="Y36" s="93">
        <f t="shared" si="23"/>
        <v>0</v>
      </c>
      <c r="Z36" s="93">
        <f t="shared" si="23"/>
        <v>0</v>
      </c>
      <c r="AA36" s="93">
        <f t="shared" si="23"/>
        <v>0</v>
      </c>
      <c r="AB36" s="93">
        <f t="shared" si="23"/>
        <v>0</v>
      </c>
      <c r="AC36" s="93">
        <f t="shared" si="23"/>
        <v>0</v>
      </c>
      <c r="AD36" s="93">
        <f t="shared" si="23"/>
        <v>0</v>
      </c>
      <c r="AE36" s="93">
        <f t="shared" si="23"/>
        <v>0</v>
      </c>
      <c r="AF36" s="93">
        <f t="shared" si="23"/>
        <v>0</v>
      </c>
      <c r="AG36" s="93">
        <f t="shared" si="23"/>
        <v>0</v>
      </c>
      <c r="AH36" s="93">
        <f t="shared" si="23"/>
        <v>0</v>
      </c>
      <c r="AI36" s="93">
        <f t="shared" si="23"/>
        <v>0</v>
      </c>
      <c r="AJ36" s="93">
        <f t="shared" si="23"/>
        <v>0</v>
      </c>
      <c r="AK36" s="93">
        <f t="shared" si="23"/>
        <v>0</v>
      </c>
      <c r="AL36" s="93">
        <f t="shared" si="23"/>
        <v>0</v>
      </c>
      <c r="AM36" s="93">
        <f t="shared" si="23"/>
        <v>0</v>
      </c>
      <c r="AN36" s="93">
        <f t="shared" si="23"/>
        <v>0</v>
      </c>
      <c r="AO36" s="93">
        <f t="shared" si="23"/>
        <v>0</v>
      </c>
      <c r="AP36" s="93">
        <f t="shared" si="23"/>
        <v>0</v>
      </c>
      <c r="AQ36" s="93">
        <f t="shared" si="23"/>
        <v>0</v>
      </c>
      <c r="AR36" s="93">
        <f t="shared" si="23"/>
        <v>0</v>
      </c>
      <c r="AS36" s="93">
        <f t="shared" si="23"/>
        <v>0</v>
      </c>
      <c r="AT36" s="93">
        <f t="shared" si="23"/>
        <v>0</v>
      </c>
      <c r="AU36" s="93">
        <f t="shared" si="23"/>
        <v>0</v>
      </c>
      <c r="AV36" s="93">
        <f t="shared" si="23"/>
        <v>0</v>
      </c>
      <c r="AW36" s="93">
        <f t="shared" si="23"/>
        <v>0</v>
      </c>
      <c r="AX36" s="93">
        <f t="shared" si="23"/>
        <v>0</v>
      </c>
      <c r="AY36" s="93">
        <f t="shared" si="23"/>
        <v>0</v>
      </c>
      <c r="AZ36" s="93">
        <f t="shared" si="23"/>
        <v>0</v>
      </c>
      <c r="BA36" s="93">
        <f t="shared" si="23"/>
        <v>0</v>
      </c>
      <c r="BB36" s="93">
        <f t="shared" si="23"/>
        <v>0</v>
      </c>
      <c r="BC36" s="93">
        <f t="shared" si="23"/>
        <v>0</v>
      </c>
      <c r="BD36" s="93">
        <f t="shared" si="23"/>
        <v>0</v>
      </c>
      <c r="BE36" s="93">
        <f t="shared" si="23"/>
        <v>0</v>
      </c>
      <c r="BF36" s="93">
        <f t="shared" si="23"/>
        <v>0</v>
      </c>
      <c r="BG36" s="93">
        <f t="shared" si="23"/>
        <v>0</v>
      </c>
      <c r="BH36" s="93">
        <f t="shared" si="23"/>
        <v>0</v>
      </c>
      <c r="BI36" s="93">
        <f t="shared" si="23"/>
        <v>0</v>
      </c>
      <c r="BJ36" s="93">
        <f t="shared" si="23"/>
        <v>0</v>
      </c>
    </row>
    <row r="37" spans="1:62" ht="12.75">
      <c r="A37" s="112"/>
      <c r="B37" s="82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</row>
    <row r="38" spans="1:62" ht="13.5" thickBot="1">
      <c r="A38" s="112" t="s">
        <v>193</v>
      </c>
      <c r="B38" s="82"/>
      <c r="C38" s="117">
        <f>'Capital Flow'!D30</f>
        <v>-3919.4920827614624</v>
      </c>
      <c r="D38" s="147">
        <f>'Capital Flow'!E30+C38</f>
        <v>22621.065954079917</v>
      </c>
      <c r="E38" s="147">
        <f>'Capital Flow'!F30+D38</f>
        <v>54498.78183442211</v>
      </c>
      <c r="F38" s="147">
        <f>'Capital Flow'!G30+E38</f>
        <v>91728.28516256073</v>
      </c>
      <c r="G38" s="147">
        <f>'Capital Flow'!H30+F38</f>
        <v>134324.22745234217</v>
      </c>
      <c r="H38" s="147">
        <f>'Capital Flow'!I30+G38</f>
        <v>184313.78215635306</v>
      </c>
      <c r="I38" s="147">
        <f>'Capital Flow'!J30+H38</f>
        <v>241711.64469514618</v>
      </c>
      <c r="J38" s="147">
        <f>'Capital Flow'!K30+I38</f>
        <v>306532.5324865031</v>
      </c>
      <c r="K38" s="147">
        <f>'Capital Flow'!L30+J38</f>
        <v>378791.1849747331</v>
      </c>
      <c r="L38" s="147">
        <f>'Capital Flow'!M30+K38</f>
        <v>458502.36366000876</v>
      </c>
      <c r="M38" s="147">
        <f>'Capital Flow'!N30+L38</f>
        <v>545680.8521277384</v>
      </c>
      <c r="N38" s="147">
        <f>'Capital Flow'!O30+M38</f>
        <v>640341.4560779749</v>
      </c>
      <c r="O38" s="94">
        <f>'[1]Monthly Stmt of Ops'!U67+N38</f>
        <v>746674.99568941</v>
      </c>
      <c r="P38" s="94">
        <f>'[1]Monthly Stmt of Ops'!V67+O38</f>
        <v>852421.7633055846</v>
      </c>
      <c r="Q38" s="94">
        <f>'[1]Monthly Stmt of Ops'!W67+P38</f>
        <v>965965.8404976288</v>
      </c>
      <c r="R38" s="94">
        <f>'[1]Monthly Stmt of Ops'!X67+Q38</f>
        <v>1087322.6572940934</v>
      </c>
      <c r="S38" s="94">
        <f>'[1]Monthly Stmt of Ops'!Y67+R38</f>
        <v>1216507.6667862767</v>
      </c>
      <c r="T38" s="94">
        <f>'[1]Monthly Stmt of Ops'!Z67+S38</f>
        <v>1353536.3451589202</v>
      </c>
      <c r="U38" s="94">
        <f>'[1]Monthly Stmt of Ops'!AA67+T38</f>
        <v>1498424.1917209416</v>
      </c>
      <c r="V38" s="94">
        <f>'[1]Monthly Stmt of Ops'!AB67+U38</f>
        <v>1651186.7289362082</v>
      </c>
      <c r="W38" s="94">
        <f>'[1]Monthly Stmt of Ops'!AC67+V38</f>
        <v>1811839.5024543467</v>
      </c>
      <c r="X38" s="94">
        <f>'[1]Monthly Stmt of Ops'!AD67+W38</f>
        <v>1980398.0811415922</v>
      </c>
      <c r="Y38" s="94">
        <f>'[1]Monthly Stmt of Ops'!AE67+X38</f>
        <v>2156878.0571116763</v>
      </c>
      <c r="Z38" s="94">
        <f>'[1]Monthly Stmt of Ops'!AF67+Y38</f>
        <v>2341295.045756752</v>
      </c>
      <c r="AA38" s="94">
        <f>'[1]Monthly Stmt of Ops'!AH67+Z38</f>
        <v>2509070.7544742604</v>
      </c>
      <c r="AB38" s="94">
        <f>'[1]Monthly Stmt of Ops'!AI67+AA38</f>
        <v>2639675.869949571</v>
      </c>
      <c r="AC38" s="94">
        <f>'[1]Monthly Stmt of Ops'!AJ67+AB38</f>
        <v>2773505.0687630386</v>
      </c>
      <c r="AD38" s="94">
        <f>'[1]Monthly Stmt of Ops'!AK67+AC38</f>
        <v>2910564.600564145</v>
      </c>
      <c r="AE38" s="94">
        <f>'[1]Monthly Stmt of Ops'!AL67+AD38</f>
        <v>3050860.7242775867</v>
      </c>
      <c r="AF38" s="94">
        <f>'[1]Monthly Stmt of Ops'!AM67+AE38</f>
        <v>3194399.7081155768</v>
      </c>
      <c r="AG38" s="94">
        <f>'[1]Monthly Stmt of Ops'!AN67+AF38</f>
        <v>3341187.8295901613</v>
      </c>
      <c r="AH38" s="94">
        <f>'[1]Monthly Stmt of Ops'!AO67+AG38</f>
        <v>3491231.3755255505</v>
      </c>
      <c r="AI38" s="94">
        <f>'[1]Monthly Stmt of Ops'!AP67+AH38</f>
        <v>3644536.6420704643</v>
      </c>
      <c r="AJ38" s="94">
        <f>'[1]Monthly Stmt of Ops'!AQ67+AI38</f>
        <v>3801109.934710496</v>
      </c>
      <c r="AK38" s="94">
        <f>'[1]Monthly Stmt of Ops'!AR67+AJ38</f>
        <v>3960957.5682804906</v>
      </c>
      <c r="AL38" s="94">
        <f>'[1]Monthly Stmt of Ops'!AS67+AK38</f>
        <v>4124085.866976935</v>
      </c>
      <c r="AM38" s="94">
        <f>'[1]Monthly Stmt of Ops'!AU67+AL38</f>
        <v>4207904.657101763</v>
      </c>
      <c r="AN38" s="94">
        <f>'[1]Monthly Stmt of Ops'!AV67+AM38</f>
        <v>4289340.75463753</v>
      </c>
      <c r="AO38" s="94">
        <f>'[1]Monthly Stmt of Ops'!AW67+AN38</f>
        <v>4373893.03795201</v>
      </c>
      <c r="AP38" s="94">
        <f>'[1]Monthly Stmt of Ops'!AX67+AO38</f>
        <v>4461567.579436784</v>
      </c>
      <c r="AQ38" s="94">
        <f>'[1]Monthly Stmt of Ops'!AY67+AP38</f>
        <v>4552370.460512032</v>
      </c>
      <c r="AR38" s="94">
        <f>'[1]Monthly Stmt of Ops'!AZ67+AQ38</f>
        <v>4646307.771638515</v>
      </c>
      <c r="AS38" s="94">
        <f>'[1]Monthly Stmt of Ops'!BA67+AR38</f>
        <v>4743385.612329578</v>
      </c>
      <c r="AT38" s="94">
        <f>'[1]Monthly Stmt of Ops'!BB67+AS38</f>
        <v>4843610.09116316</v>
      </c>
      <c r="AU38" s="94">
        <f>'[1]Monthly Stmt of Ops'!BC67+AT38</f>
        <v>4946987.325793828</v>
      </c>
      <c r="AV38" s="94">
        <f>'[1]Monthly Stmt of Ops'!BD67+AU38</f>
        <v>5053523.442964818</v>
      </c>
      <c r="AW38" s="94">
        <f>'[1]Monthly Stmt of Ops'!BE67+AV38</f>
        <v>5163224.578520101</v>
      </c>
      <c r="AX38" s="94">
        <f>'[1]Monthly Stmt of Ops'!BF67+AW38</f>
        <v>5276096.877416448</v>
      </c>
      <c r="AY38" s="94">
        <f>'[1]Monthly Stmt of Ops'!BH67+AX38</f>
        <v>5381810.499149028</v>
      </c>
      <c r="AZ38" s="94">
        <f>'[1]Monthly Stmt of Ops'!BI67+AY38</f>
        <v>5490832.601523011</v>
      </c>
      <c r="BA38" s="94">
        <f>'[1]Monthly Stmt of Ops'!BJ67+AZ38</f>
        <v>5603044.356906184</v>
      </c>
      <c r="BB38" s="94">
        <f>'[1]Monthly Stmt of Ops'!BK67+BA38</f>
        <v>5718451.946827591</v>
      </c>
      <c r="BC38" s="94">
        <f>'[1]Monthly Stmt of Ops'!BL67+BB38</f>
        <v>5837061.561989682</v>
      </c>
      <c r="BD38" s="94">
        <f>'[1]Monthly Stmt of Ops'!BM67+BC38</f>
        <v>5958879.402280474</v>
      </c>
      <c r="BE38" s="94">
        <f>'[1]Monthly Stmt of Ops'!BN67+BD38</f>
        <v>6083911.676785738</v>
      </c>
      <c r="BF38" s="94">
        <f>'[1]Monthly Stmt of Ops'!BO67+BE38</f>
        <v>6212164.60380119</v>
      </c>
      <c r="BG38" s="94">
        <f>'[1]Monthly Stmt of Ops'!BP67+BF38</f>
        <v>6343644.410844703</v>
      </c>
      <c r="BH38" s="94">
        <f>'[1]Monthly Stmt of Ops'!BQ67+BG38</f>
        <v>6478357.334668534</v>
      </c>
      <c r="BI38" s="94">
        <f>'[1]Monthly Stmt of Ops'!BR67+BH38</f>
        <v>6616309.621271564</v>
      </c>
      <c r="BJ38" s="94">
        <f>'[1]Monthly Stmt of Ops'!BS67+BI38</f>
        <v>6757507.525911555</v>
      </c>
    </row>
    <row r="39" spans="1:62" ht="13.5" thickBot="1">
      <c r="A39" s="112" t="s">
        <v>194</v>
      </c>
      <c r="B39" s="82"/>
      <c r="C39" s="117">
        <f aca="true" t="shared" si="24" ref="C39:AD39">SUM(C34:C38)</f>
        <v>676080.5079172385</v>
      </c>
      <c r="D39" s="117">
        <f t="shared" si="24"/>
        <v>702621.06595408</v>
      </c>
      <c r="E39" s="117">
        <f t="shared" si="24"/>
        <v>734498.7818344221</v>
      </c>
      <c r="F39" s="117">
        <f t="shared" si="24"/>
        <v>771728.2851625608</v>
      </c>
      <c r="G39" s="117">
        <f t="shared" si="24"/>
        <v>814324.2274523422</v>
      </c>
      <c r="H39" s="117">
        <f t="shared" si="24"/>
        <v>864313.7821563531</v>
      </c>
      <c r="I39" s="117">
        <f t="shared" si="24"/>
        <v>921711.6446951462</v>
      </c>
      <c r="J39" s="117">
        <f t="shared" si="24"/>
        <v>986532.5324865031</v>
      </c>
      <c r="K39" s="117">
        <f t="shared" si="24"/>
        <v>1058791.184974733</v>
      </c>
      <c r="L39" s="117">
        <f t="shared" si="24"/>
        <v>1138502.3636600086</v>
      </c>
      <c r="M39" s="117">
        <f t="shared" si="24"/>
        <v>1225680.8521277383</v>
      </c>
      <c r="N39" s="117">
        <f t="shared" si="24"/>
        <v>1320341.4560779748</v>
      </c>
      <c r="O39" s="94">
        <f t="shared" si="24"/>
        <v>1426674.99568941</v>
      </c>
      <c r="P39" s="94">
        <f t="shared" si="24"/>
        <v>1532421.7633055844</v>
      </c>
      <c r="Q39" s="94">
        <f t="shared" si="24"/>
        <v>1645965.8404976288</v>
      </c>
      <c r="R39" s="94">
        <f t="shared" si="24"/>
        <v>1767322.6572940934</v>
      </c>
      <c r="S39" s="94">
        <f t="shared" si="24"/>
        <v>1896507.6667862767</v>
      </c>
      <c r="T39" s="94">
        <f t="shared" si="24"/>
        <v>2033536.3451589202</v>
      </c>
      <c r="U39" s="94">
        <f t="shared" si="24"/>
        <v>2178424.1917209416</v>
      </c>
      <c r="V39" s="94">
        <f t="shared" si="24"/>
        <v>2331186.7289362084</v>
      </c>
      <c r="W39" s="94">
        <f t="shared" si="24"/>
        <v>2491839.502454347</v>
      </c>
      <c r="X39" s="94">
        <f t="shared" si="24"/>
        <v>2660398.081141592</v>
      </c>
      <c r="Y39" s="94">
        <f t="shared" si="24"/>
        <v>2836878.0571116763</v>
      </c>
      <c r="Z39" s="94">
        <f t="shared" si="24"/>
        <v>3021295.045756752</v>
      </c>
      <c r="AA39" s="94">
        <f t="shared" si="24"/>
        <v>3189070.7544742604</v>
      </c>
      <c r="AB39" s="94">
        <f t="shared" si="24"/>
        <v>3319675.869949571</v>
      </c>
      <c r="AC39" s="94">
        <f t="shared" si="24"/>
        <v>3453505.0687630386</v>
      </c>
      <c r="AD39" s="94">
        <f t="shared" si="24"/>
        <v>3590564.600564145</v>
      </c>
      <c r="AE39" s="94">
        <f aca="true" t="shared" si="25" ref="AE39:BJ39">SUM(AE34:AE38)</f>
        <v>3730860.7242775867</v>
      </c>
      <c r="AF39" s="94">
        <f t="shared" si="25"/>
        <v>3874399.7081155768</v>
      </c>
      <c r="AG39" s="94">
        <f t="shared" si="25"/>
        <v>4021187.8295901613</v>
      </c>
      <c r="AH39" s="94">
        <f t="shared" si="25"/>
        <v>4171231.3755255505</v>
      </c>
      <c r="AI39" s="94">
        <f t="shared" si="25"/>
        <v>4324536.642070465</v>
      </c>
      <c r="AJ39" s="94">
        <f t="shared" si="25"/>
        <v>4481109.934710496</v>
      </c>
      <c r="AK39" s="94">
        <f t="shared" si="25"/>
        <v>4640957.56828049</v>
      </c>
      <c r="AL39" s="94">
        <f t="shared" si="25"/>
        <v>4804085.866976935</v>
      </c>
      <c r="AM39" s="94">
        <f t="shared" si="25"/>
        <v>4887904.657101763</v>
      </c>
      <c r="AN39" s="94">
        <f t="shared" si="25"/>
        <v>4969340.75463753</v>
      </c>
      <c r="AO39" s="94">
        <f t="shared" si="25"/>
        <v>5053893.03795201</v>
      </c>
      <c r="AP39" s="94">
        <f t="shared" si="25"/>
        <v>5141567.579436784</v>
      </c>
      <c r="AQ39" s="94">
        <f t="shared" si="25"/>
        <v>5232370.460512032</v>
      </c>
      <c r="AR39" s="94">
        <f t="shared" si="25"/>
        <v>5326307.771638515</v>
      </c>
      <c r="AS39" s="94">
        <f t="shared" si="25"/>
        <v>5423385.612329578</v>
      </c>
      <c r="AT39" s="94">
        <f t="shared" si="25"/>
        <v>5523610.09116316</v>
      </c>
      <c r="AU39" s="94">
        <f t="shared" si="25"/>
        <v>5626987.325793828</v>
      </c>
      <c r="AV39" s="94">
        <f t="shared" si="25"/>
        <v>5733523.442964818</v>
      </c>
      <c r="AW39" s="94">
        <f t="shared" si="25"/>
        <v>5843224.578520101</v>
      </c>
      <c r="AX39" s="94">
        <f t="shared" si="25"/>
        <v>5956096.877416448</v>
      </c>
      <c r="AY39" s="94">
        <f t="shared" si="25"/>
        <v>6061810.499149028</v>
      </c>
      <c r="AZ39" s="94">
        <f t="shared" si="25"/>
        <v>6170832.601523011</v>
      </c>
      <c r="BA39" s="94">
        <f t="shared" si="25"/>
        <v>6283044.356906184</v>
      </c>
      <c r="BB39" s="94">
        <f t="shared" si="25"/>
        <v>6398451.946827591</v>
      </c>
      <c r="BC39" s="94">
        <f t="shared" si="25"/>
        <v>6517061.561989682</v>
      </c>
      <c r="BD39" s="94">
        <f t="shared" si="25"/>
        <v>6638879.402280474</v>
      </c>
      <c r="BE39" s="94">
        <f t="shared" si="25"/>
        <v>6763911.676785738</v>
      </c>
      <c r="BF39" s="94">
        <f t="shared" si="25"/>
        <v>6892164.60380119</v>
      </c>
      <c r="BG39" s="94">
        <f t="shared" si="25"/>
        <v>7023644.410844703</v>
      </c>
      <c r="BH39" s="94">
        <f t="shared" si="25"/>
        <v>7158357.334668534</v>
      </c>
      <c r="BI39" s="94">
        <f t="shared" si="25"/>
        <v>7296309.621271564</v>
      </c>
      <c r="BJ39" s="94">
        <f t="shared" si="25"/>
        <v>7437507.525911555</v>
      </c>
    </row>
    <row r="40" spans="1:62" ht="13.5" thickBot="1">
      <c r="A40" s="121" t="s">
        <v>195</v>
      </c>
      <c r="B40" s="82"/>
      <c r="C40" s="123">
        <f aca="true" t="shared" si="26" ref="C40:AH40">C39+C31</f>
        <v>676080.5079172385</v>
      </c>
      <c r="D40" s="123">
        <f t="shared" si="26"/>
        <v>702621.06595408</v>
      </c>
      <c r="E40" s="123">
        <f t="shared" si="26"/>
        <v>734498.7818344221</v>
      </c>
      <c r="F40" s="123">
        <f t="shared" si="26"/>
        <v>771728.2851625608</v>
      </c>
      <c r="G40" s="123">
        <f t="shared" si="26"/>
        <v>814324.2274523422</v>
      </c>
      <c r="H40" s="123">
        <f t="shared" si="26"/>
        <v>864313.7821563531</v>
      </c>
      <c r="I40" s="123">
        <f t="shared" si="26"/>
        <v>921711.6446951462</v>
      </c>
      <c r="J40" s="123">
        <f t="shared" si="26"/>
        <v>986532.5324865031</v>
      </c>
      <c r="K40" s="123">
        <f t="shared" si="26"/>
        <v>1058791.184974733</v>
      </c>
      <c r="L40" s="123">
        <f t="shared" si="26"/>
        <v>1138502.3636600086</v>
      </c>
      <c r="M40" s="123">
        <f t="shared" si="26"/>
        <v>1225680.8521277383</v>
      </c>
      <c r="N40" s="123">
        <f t="shared" si="26"/>
        <v>1320341.4560779748</v>
      </c>
      <c r="O40" s="98">
        <f t="shared" si="26"/>
        <v>1426674.99568941</v>
      </c>
      <c r="P40" s="98">
        <f t="shared" si="26"/>
        <v>1532421.7633055844</v>
      </c>
      <c r="Q40" s="98">
        <f t="shared" si="26"/>
        <v>1645965.8404976288</v>
      </c>
      <c r="R40" s="98">
        <f t="shared" si="26"/>
        <v>1767322.6572940934</v>
      </c>
      <c r="S40" s="98">
        <f t="shared" si="26"/>
        <v>1896507.6667862767</v>
      </c>
      <c r="T40" s="98">
        <f t="shared" si="26"/>
        <v>2033536.3451589202</v>
      </c>
      <c r="U40" s="98">
        <f t="shared" si="26"/>
        <v>2178424.1917209416</v>
      </c>
      <c r="V40" s="98">
        <f t="shared" si="26"/>
        <v>2331186.7289362084</v>
      </c>
      <c r="W40" s="98">
        <f t="shared" si="26"/>
        <v>2491839.502454347</v>
      </c>
      <c r="X40" s="98">
        <f t="shared" si="26"/>
        <v>2660398.081141592</v>
      </c>
      <c r="Y40" s="98">
        <f t="shared" si="26"/>
        <v>2836878.0571116763</v>
      </c>
      <c r="Z40" s="98">
        <f t="shared" si="26"/>
        <v>3021295.045756752</v>
      </c>
      <c r="AA40" s="98">
        <f t="shared" si="26"/>
        <v>3189070.7544742604</v>
      </c>
      <c r="AB40" s="98">
        <f t="shared" si="26"/>
        <v>3319675.869949571</v>
      </c>
      <c r="AC40" s="98">
        <f t="shared" si="26"/>
        <v>3453505.0687630386</v>
      </c>
      <c r="AD40" s="98">
        <f t="shared" si="26"/>
        <v>3590564.600564145</v>
      </c>
      <c r="AE40" s="98">
        <f t="shared" si="26"/>
        <v>3730860.7242775867</v>
      </c>
      <c r="AF40" s="98">
        <f t="shared" si="26"/>
        <v>3874399.7081155768</v>
      </c>
      <c r="AG40" s="98">
        <f t="shared" si="26"/>
        <v>4021187.8295901613</v>
      </c>
      <c r="AH40" s="98">
        <f t="shared" si="26"/>
        <v>4171231.3755255505</v>
      </c>
      <c r="AI40" s="98">
        <f aca="true" t="shared" si="27" ref="AI40:BJ40">AI39+AI31</f>
        <v>4324536.642070465</v>
      </c>
      <c r="AJ40" s="98">
        <f t="shared" si="27"/>
        <v>4481109.934710496</v>
      </c>
      <c r="AK40" s="98">
        <f t="shared" si="27"/>
        <v>4640957.56828049</v>
      </c>
      <c r="AL40" s="98">
        <f t="shared" si="27"/>
        <v>4804085.866976935</v>
      </c>
      <c r="AM40" s="98">
        <f t="shared" si="27"/>
        <v>4887904.657101763</v>
      </c>
      <c r="AN40" s="98">
        <f t="shared" si="27"/>
        <v>4969340.75463753</v>
      </c>
      <c r="AO40" s="98">
        <f t="shared" si="27"/>
        <v>5053893.03795201</v>
      </c>
      <c r="AP40" s="98">
        <f t="shared" si="27"/>
        <v>5141567.579436784</v>
      </c>
      <c r="AQ40" s="98">
        <f t="shared" si="27"/>
        <v>5232370.460512032</v>
      </c>
      <c r="AR40" s="98">
        <f t="shared" si="27"/>
        <v>5326307.771638515</v>
      </c>
      <c r="AS40" s="98">
        <f t="shared" si="27"/>
        <v>5423385.612329578</v>
      </c>
      <c r="AT40" s="98">
        <f t="shared" si="27"/>
        <v>5523610.09116316</v>
      </c>
      <c r="AU40" s="98">
        <f t="shared" si="27"/>
        <v>5626987.325793828</v>
      </c>
      <c r="AV40" s="98">
        <f t="shared" si="27"/>
        <v>5733523.442964818</v>
      </c>
      <c r="AW40" s="98">
        <f t="shared" si="27"/>
        <v>5843224.578520101</v>
      </c>
      <c r="AX40" s="98">
        <f t="shared" si="27"/>
        <v>5956096.877416448</v>
      </c>
      <c r="AY40" s="98">
        <f t="shared" si="27"/>
        <v>6061810.499149028</v>
      </c>
      <c r="AZ40" s="98">
        <f t="shared" si="27"/>
        <v>6170832.601523011</v>
      </c>
      <c r="BA40" s="98">
        <f t="shared" si="27"/>
        <v>6283044.356906184</v>
      </c>
      <c r="BB40" s="98">
        <f t="shared" si="27"/>
        <v>6398451.946827591</v>
      </c>
      <c r="BC40" s="98">
        <f t="shared" si="27"/>
        <v>6517061.561989682</v>
      </c>
      <c r="BD40" s="98">
        <f t="shared" si="27"/>
        <v>6638879.402280474</v>
      </c>
      <c r="BE40" s="98">
        <f t="shared" si="27"/>
        <v>6763911.676785738</v>
      </c>
      <c r="BF40" s="98">
        <f t="shared" si="27"/>
        <v>6892164.60380119</v>
      </c>
      <c r="BG40" s="98">
        <f t="shared" si="27"/>
        <v>7023644.410844703</v>
      </c>
      <c r="BH40" s="98">
        <f t="shared" si="27"/>
        <v>7158357.334668534</v>
      </c>
      <c r="BI40" s="98">
        <f t="shared" si="27"/>
        <v>7296309.621271564</v>
      </c>
      <c r="BJ40" s="98">
        <f t="shared" si="27"/>
        <v>7437507.525911555</v>
      </c>
    </row>
    <row r="41" spans="1:29" ht="13.5" thickTop="1">
      <c r="A41" s="127"/>
      <c r="B41" s="82"/>
      <c r="C41" s="127"/>
      <c r="D41" s="127"/>
      <c r="E41" s="127"/>
      <c r="F41" s="127"/>
      <c r="G41" s="127"/>
      <c r="H41" s="127"/>
      <c r="I41" s="127"/>
      <c r="J41" s="131"/>
      <c r="K41" s="127"/>
      <c r="L41" s="127"/>
      <c r="M41" s="127"/>
      <c r="N41" s="13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14" ht="12.75">
      <c r="A42" s="127" t="s">
        <v>196</v>
      </c>
      <c r="B42" s="82"/>
      <c r="C42" s="127"/>
      <c r="D42" s="127"/>
      <c r="E42" s="127"/>
      <c r="F42" s="127"/>
      <c r="G42" s="127"/>
      <c r="H42" s="127"/>
      <c r="I42" s="127"/>
      <c r="J42" s="131"/>
      <c r="K42" s="127"/>
      <c r="L42" s="127"/>
      <c r="M42" s="127"/>
      <c r="N42" s="127"/>
    </row>
    <row r="43" spans="1:14" ht="12.75">
      <c r="A43" s="127"/>
      <c r="B43" s="82"/>
      <c r="C43" s="127"/>
      <c r="D43" s="127"/>
      <c r="E43" s="127"/>
      <c r="F43" s="127"/>
      <c r="G43" s="127"/>
      <c r="H43" s="127"/>
      <c r="I43" s="127"/>
      <c r="J43" s="131"/>
      <c r="K43" s="127"/>
      <c r="L43" s="127"/>
      <c r="M43" s="127"/>
      <c r="N43" s="127"/>
    </row>
    <row r="44" spans="1:14" ht="12.75">
      <c r="A44" s="127"/>
      <c r="B44" s="82"/>
      <c r="C44" s="127"/>
      <c r="D44" s="127"/>
      <c r="E44" s="127"/>
      <c r="F44" s="127"/>
      <c r="G44" s="127"/>
      <c r="H44" s="127"/>
      <c r="I44" s="127"/>
      <c r="J44" s="131"/>
      <c r="K44" s="127"/>
      <c r="L44" s="127"/>
      <c r="M44" s="127"/>
      <c r="N44" s="127"/>
    </row>
    <row r="45" spans="1:14" ht="12.75">
      <c r="A45" s="133" t="s">
        <v>197</v>
      </c>
      <c r="B45" s="82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62" ht="12.75">
      <c r="A46" s="127"/>
      <c r="B46" s="82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</row>
    <row r="47" spans="1:62" ht="12.75">
      <c r="A47" s="127" t="s">
        <v>198</v>
      </c>
      <c r="B47" s="82"/>
      <c r="C47" s="134">
        <v>680000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v>0</v>
      </c>
      <c r="W47" s="103">
        <v>0</v>
      </c>
      <c r="X47" s="103"/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0</v>
      </c>
      <c r="BD47" s="103">
        <v>0</v>
      </c>
      <c r="BE47" s="103">
        <v>0</v>
      </c>
      <c r="BF47" s="103">
        <v>0</v>
      </c>
      <c r="BG47" s="103">
        <v>0</v>
      </c>
      <c r="BH47" s="103">
        <v>0</v>
      </c>
      <c r="BI47" s="103">
        <v>0</v>
      </c>
      <c r="BJ47" s="103">
        <v>0</v>
      </c>
    </row>
    <row r="48" spans="1:62" ht="12.75">
      <c r="A48" s="127"/>
      <c r="B48" s="82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</row>
    <row r="49" spans="1:62" ht="12.75">
      <c r="A49" s="127" t="s">
        <v>199</v>
      </c>
      <c r="B49" s="82"/>
      <c r="C49" s="134">
        <f>+C35</f>
        <v>680000</v>
      </c>
      <c r="D49" s="134">
        <f>+D35-C35</f>
        <v>0</v>
      </c>
      <c r="E49" s="134">
        <f>+E35-D35</f>
        <v>0</v>
      </c>
      <c r="F49" s="134">
        <f>+F35-E35</f>
        <v>0</v>
      </c>
      <c r="G49" s="134">
        <f>+G35-F35</f>
        <v>0</v>
      </c>
      <c r="H49" s="134"/>
      <c r="I49" s="134"/>
      <c r="J49" s="134"/>
      <c r="K49" s="134"/>
      <c r="L49" s="134"/>
      <c r="M49" s="134"/>
      <c r="N49" s="134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</row>
    <row r="50" spans="1:62" ht="12.75">
      <c r="A50" s="127" t="s">
        <v>200</v>
      </c>
      <c r="B50" s="82"/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103">
        <v>0</v>
      </c>
      <c r="BF50" s="103">
        <v>0</v>
      </c>
      <c r="BG50" s="103">
        <v>0</v>
      </c>
      <c r="BH50" s="103">
        <v>0</v>
      </c>
      <c r="BI50" s="103">
        <v>0</v>
      </c>
      <c r="BJ50" s="103">
        <v>0</v>
      </c>
    </row>
    <row r="51" spans="1:62" ht="12.75">
      <c r="A51" s="127" t="s">
        <v>201</v>
      </c>
      <c r="B51" s="82"/>
      <c r="C51" s="134">
        <f aca="true" t="shared" si="28" ref="C51:BJ51">SUM(C63:C66)</f>
        <v>680000</v>
      </c>
      <c r="D51" s="134">
        <f t="shared" si="28"/>
        <v>0</v>
      </c>
      <c r="E51" s="134">
        <f t="shared" si="28"/>
        <v>0</v>
      </c>
      <c r="F51" s="134">
        <f t="shared" si="28"/>
        <v>0</v>
      </c>
      <c r="G51" s="134">
        <f t="shared" si="28"/>
        <v>0</v>
      </c>
      <c r="H51" s="134">
        <f t="shared" si="28"/>
        <v>0</v>
      </c>
      <c r="I51" s="134">
        <f t="shared" si="28"/>
        <v>0</v>
      </c>
      <c r="J51" s="134">
        <f t="shared" si="28"/>
        <v>0</v>
      </c>
      <c r="K51" s="134">
        <f t="shared" si="28"/>
        <v>0</v>
      </c>
      <c r="L51" s="134">
        <f t="shared" si="28"/>
        <v>0</v>
      </c>
      <c r="M51" s="134">
        <f t="shared" si="28"/>
        <v>0</v>
      </c>
      <c r="N51" s="134">
        <f t="shared" si="28"/>
        <v>0</v>
      </c>
      <c r="O51" s="103">
        <f t="shared" si="28"/>
        <v>0</v>
      </c>
      <c r="P51" s="103">
        <f t="shared" si="28"/>
        <v>0</v>
      </c>
      <c r="Q51" s="103">
        <f t="shared" si="28"/>
        <v>0</v>
      </c>
      <c r="R51" s="103">
        <f t="shared" si="28"/>
        <v>0</v>
      </c>
      <c r="S51" s="103">
        <f t="shared" si="28"/>
        <v>0</v>
      </c>
      <c r="T51" s="103">
        <f t="shared" si="28"/>
        <v>0</v>
      </c>
      <c r="U51" s="103">
        <f t="shared" si="28"/>
        <v>0</v>
      </c>
      <c r="V51" s="103">
        <f t="shared" si="28"/>
        <v>0</v>
      </c>
      <c r="W51" s="103">
        <f t="shared" si="28"/>
        <v>0</v>
      </c>
      <c r="X51" s="103">
        <f t="shared" si="28"/>
        <v>0</v>
      </c>
      <c r="Y51" s="103">
        <f t="shared" si="28"/>
        <v>0</v>
      </c>
      <c r="Z51" s="103">
        <f t="shared" si="28"/>
        <v>0</v>
      </c>
      <c r="AA51" s="103">
        <f t="shared" si="28"/>
        <v>0</v>
      </c>
      <c r="AB51" s="103">
        <f t="shared" si="28"/>
        <v>0</v>
      </c>
      <c r="AC51" s="103">
        <f t="shared" si="28"/>
        <v>0</v>
      </c>
      <c r="AD51" s="103">
        <f t="shared" si="28"/>
        <v>0</v>
      </c>
      <c r="AE51" s="103">
        <f t="shared" si="28"/>
        <v>0</v>
      </c>
      <c r="AF51" s="103">
        <f t="shared" si="28"/>
        <v>0</v>
      </c>
      <c r="AG51" s="103">
        <f t="shared" si="28"/>
        <v>0</v>
      </c>
      <c r="AH51" s="103">
        <f t="shared" si="28"/>
        <v>0</v>
      </c>
      <c r="AI51" s="103">
        <f t="shared" si="28"/>
        <v>0</v>
      </c>
      <c r="AJ51" s="103">
        <f t="shared" si="28"/>
        <v>0</v>
      </c>
      <c r="AK51" s="103">
        <f t="shared" si="28"/>
        <v>0</v>
      </c>
      <c r="AL51" s="103">
        <f t="shared" si="28"/>
        <v>0</v>
      </c>
      <c r="AM51" s="103">
        <f t="shared" si="28"/>
        <v>0</v>
      </c>
      <c r="AN51" s="103">
        <f t="shared" si="28"/>
        <v>0</v>
      </c>
      <c r="AO51" s="103">
        <f t="shared" si="28"/>
        <v>0</v>
      </c>
      <c r="AP51" s="103">
        <f t="shared" si="28"/>
        <v>0</v>
      </c>
      <c r="AQ51" s="103">
        <f t="shared" si="28"/>
        <v>0</v>
      </c>
      <c r="AR51" s="103">
        <f t="shared" si="28"/>
        <v>0</v>
      </c>
      <c r="AS51" s="103">
        <f t="shared" si="28"/>
        <v>0</v>
      </c>
      <c r="AT51" s="103">
        <f t="shared" si="28"/>
        <v>0</v>
      </c>
      <c r="AU51" s="103">
        <f t="shared" si="28"/>
        <v>0</v>
      </c>
      <c r="AV51" s="103">
        <f t="shared" si="28"/>
        <v>0</v>
      </c>
      <c r="AW51" s="103">
        <f t="shared" si="28"/>
        <v>0</v>
      </c>
      <c r="AX51" s="103">
        <f t="shared" si="28"/>
        <v>0</v>
      </c>
      <c r="AY51" s="103">
        <f t="shared" si="28"/>
        <v>0</v>
      </c>
      <c r="AZ51" s="103">
        <f t="shared" si="28"/>
        <v>0</v>
      </c>
      <c r="BA51" s="103">
        <f t="shared" si="28"/>
        <v>0</v>
      </c>
      <c r="BB51" s="103">
        <f t="shared" si="28"/>
        <v>0</v>
      </c>
      <c r="BC51" s="103">
        <f t="shared" si="28"/>
        <v>0</v>
      </c>
      <c r="BD51" s="103">
        <f t="shared" si="28"/>
        <v>0</v>
      </c>
      <c r="BE51" s="103">
        <f t="shared" si="28"/>
        <v>0</v>
      </c>
      <c r="BF51" s="103">
        <f t="shared" si="28"/>
        <v>0</v>
      </c>
      <c r="BG51" s="103">
        <f t="shared" si="28"/>
        <v>0</v>
      </c>
      <c r="BH51" s="103">
        <f t="shared" si="28"/>
        <v>0</v>
      </c>
      <c r="BI51" s="103">
        <f t="shared" si="28"/>
        <v>0</v>
      </c>
      <c r="BJ51" s="103">
        <f t="shared" si="28"/>
        <v>0</v>
      </c>
    </row>
    <row r="52" spans="1:62" ht="12.75">
      <c r="A52" s="127"/>
      <c r="B52" s="82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</row>
    <row r="53" spans="1:62" ht="12.75">
      <c r="A53" s="127"/>
      <c r="B53" s="82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</row>
    <row r="54" spans="1:62" ht="12.75">
      <c r="A54" s="127" t="s">
        <v>129</v>
      </c>
      <c r="B54" s="85"/>
      <c r="C54" s="134">
        <f>C64</f>
        <v>655000</v>
      </c>
      <c r="D54" s="134">
        <f aca="true" t="shared" si="29" ref="D54:BJ54">C54+D51</f>
        <v>655000</v>
      </c>
      <c r="E54" s="134">
        <f t="shared" si="29"/>
        <v>655000</v>
      </c>
      <c r="F54" s="134">
        <f t="shared" si="29"/>
        <v>655000</v>
      </c>
      <c r="G54" s="134">
        <f t="shared" si="29"/>
        <v>655000</v>
      </c>
      <c r="H54" s="134">
        <f t="shared" si="29"/>
        <v>655000</v>
      </c>
      <c r="I54" s="134">
        <f t="shared" si="29"/>
        <v>655000</v>
      </c>
      <c r="J54" s="134">
        <f t="shared" si="29"/>
        <v>655000</v>
      </c>
      <c r="K54" s="134">
        <f t="shared" si="29"/>
        <v>655000</v>
      </c>
      <c r="L54" s="134">
        <f t="shared" si="29"/>
        <v>655000</v>
      </c>
      <c r="M54" s="134">
        <f t="shared" si="29"/>
        <v>655000</v>
      </c>
      <c r="N54" s="134">
        <f t="shared" si="29"/>
        <v>655000</v>
      </c>
      <c r="O54" s="103">
        <f t="shared" si="29"/>
        <v>655000</v>
      </c>
      <c r="P54" s="103">
        <f t="shared" si="29"/>
        <v>655000</v>
      </c>
      <c r="Q54" s="103">
        <f t="shared" si="29"/>
        <v>655000</v>
      </c>
      <c r="R54" s="103">
        <f t="shared" si="29"/>
        <v>655000</v>
      </c>
      <c r="S54" s="103">
        <f t="shared" si="29"/>
        <v>655000</v>
      </c>
      <c r="T54" s="103">
        <f t="shared" si="29"/>
        <v>655000</v>
      </c>
      <c r="U54" s="103">
        <f t="shared" si="29"/>
        <v>655000</v>
      </c>
      <c r="V54" s="103">
        <f t="shared" si="29"/>
        <v>655000</v>
      </c>
      <c r="W54" s="103">
        <f t="shared" si="29"/>
        <v>655000</v>
      </c>
      <c r="X54" s="103">
        <f t="shared" si="29"/>
        <v>655000</v>
      </c>
      <c r="Y54" s="103">
        <f t="shared" si="29"/>
        <v>655000</v>
      </c>
      <c r="Z54" s="103">
        <f t="shared" si="29"/>
        <v>655000</v>
      </c>
      <c r="AA54" s="103">
        <f t="shared" si="29"/>
        <v>655000</v>
      </c>
      <c r="AB54" s="103">
        <f t="shared" si="29"/>
        <v>655000</v>
      </c>
      <c r="AC54" s="103">
        <f t="shared" si="29"/>
        <v>655000</v>
      </c>
      <c r="AD54" s="103">
        <f t="shared" si="29"/>
        <v>655000</v>
      </c>
      <c r="AE54" s="103">
        <f t="shared" si="29"/>
        <v>655000</v>
      </c>
      <c r="AF54" s="103">
        <f t="shared" si="29"/>
        <v>655000</v>
      </c>
      <c r="AG54" s="103">
        <f t="shared" si="29"/>
        <v>655000</v>
      </c>
      <c r="AH54" s="103">
        <f t="shared" si="29"/>
        <v>655000</v>
      </c>
      <c r="AI54" s="103">
        <f t="shared" si="29"/>
        <v>655000</v>
      </c>
      <c r="AJ54" s="103">
        <f t="shared" si="29"/>
        <v>655000</v>
      </c>
      <c r="AK54" s="103">
        <f t="shared" si="29"/>
        <v>655000</v>
      </c>
      <c r="AL54" s="103">
        <f t="shared" si="29"/>
        <v>655000</v>
      </c>
      <c r="AM54" s="103">
        <f t="shared" si="29"/>
        <v>655000</v>
      </c>
      <c r="AN54" s="103">
        <f t="shared" si="29"/>
        <v>655000</v>
      </c>
      <c r="AO54" s="103">
        <f t="shared" si="29"/>
        <v>655000</v>
      </c>
      <c r="AP54" s="103">
        <f t="shared" si="29"/>
        <v>655000</v>
      </c>
      <c r="AQ54" s="103">
        <f t="shared" si="29"/>
        <v>655000</v>
      </c>
      <c r="AR54" s="103">
        <f t="shared" si="29"/>
        <v>655000</v>
      </c>
      <c r="AS54" s="103">
        <f t="shared" si="29"/>
        <v>655000</v>
      </c>
      <c r="AT54" s="103">
        <f t="shared" si="29"/>
        <v>655000</v>
      </c>
      <c r="AU54" s="103">
        <f t="shared" si="29"/>
        <v>655000</v>
      </c>
      <c r="AV54" s="103">
        <f t="shared" si="29"/>
        <v>655000</v>
      </c>
      <c r="AW54" s="103">
        <f t="shared" si="29"/>
        <v>655000</v>
      </c>
      <c r="AX54" s="103">
        <f t="shared" si="29"/>
        <v>655000</v>
      </c>
      <c r="AY54" s="103">
        <f t="shared" si="29"/>
        <v>655000</v>
      </c>
      <c r="AZ54" s="103">
        <f t="shared" si="29"/>
        <v>655000</v>
      </c>
      <c r="BA54" s="103">
        <f t="shared" si="29"/>
        <v>655000</v>
      </c>
      <c r="BB54" s="103">
        <f t="shared" si="29"/>
        <v>655000</v>
      </c>
      <c r="BC54" s="103">
        <f t="shared" si="29"/>
        <v>655000</v>
      </c>
      <c r="BD54" s="103">
        <f t="shared" si="29"/>
        <v>655000</v>
      </c>
      <c r="BE54" s="103">
        <f t="shared" si="29"/>
        <v>655000</v>
      </c>
      <c r="BF54" s="103">
        <f t="shared" si="29"/>
        <v>655000</v>
      </c>
      <c r="BG54" s="103">
        <f t="shared" si="29"/>
        <v>655000</v>
      </c>
      <c r="BH54" s="103">
        <f t="shared" si="29"/>
        <v>655000</v>
      </c>
      <c r="BI54" s="103">
        <f t="shared" si="29"/>
        <v>655000</v>
      </c>
      <c r="BJ54" s="103">
        <f t="shared" si="29"/>
        <v>655000</v>
      </c>
    </row>
    <row r="55" spans="1:62" ht="12.75">
      <c r="A55" s="127" t="s">
        <v>130</v>
      </c>
      <c r="B55" s="85"/>
      <c r="C55" s="134">
        <f aca="true" t="shared" si="30" ref="C55:BJ55">C54/120</f>
        <v>5458.333333333333</v>
      </c>
      <c r="D55" s="134">
        <f t="shared" si="30"/>
        <v>5458.333333333333</v>
      </c>
      <c r="E55" s="134">
        <f t="shared" si="30"/>
        <v>5458.333333333333</v>
      </c>
      <c r="F55" s="134">
        <f t="shared" si="30"/>
        <v>5458.333333333333</v>
      </c>
      <c r="G55" s="134">
        <f t="shared" si="30"/>
        <v>5458.333333333333</v>
      </c>
      <c r="H55" s="134">
        <f t="shared" si="30"/>
        <v>5458.333333333333</v>
      </c>
      <c r="I55" s="134">
        <f t="shared" si="30"/>
        <v>5458.333333333333</v>
      </c>
      <c r="J55" s="134">
        <f t="shared" si="30"/>
        <v>5458.333333333333</v>
      </c>
      <c r="K55" s="134">
        <f t="shared" si="30"/>
        <v>5458.333333333333</v>
      </c>
      <c r="L55" s="134">
        <f t="shared" si="30"/>
        <v>5458.333333333333</v>
      </c>
      <c r="M55" s="134">
        <f t="shared" si="30"/>
        <v>5458.333333333333</v>
      </c>
      <c r="N55" s="134">
        <f t="shared" si="30"/>
        <v>5458.333333333333</v>
      </c>
      <c r="O55" s="103">
        <f t="shared" si="30"/>
        <v>5458.333333333333</v>
      </c>
      <c r="P55" s="103">
        <f t="shared" si="30"/>
        <v>5458.333333333333</v>
      </c>
      <c r="Q55" s="103">
        <f t="shared" si="30"/>
        <v>5458.333333333333</v>
      </c>
      <c r="R55" s="103">
        <f t="shared" si="30"/>
        <v>5458.333333333333</v>
      </c>
      <c r="S55" s="103">
        <f t="shared" si="30"/>
        <v>5458.333333333333</v>
      </c>
      <c r="T55" s="103">
        <f t="shared" si="30"/>
        <v>5458.333333333333</v>
      </c>
      <c r="U55" s="103">
        <f t="shared" si="30"/>
        <v>5458.333333333333</v>
      </c>
      <c r="V55" s="103">
        <f t="shared" si="30"/>
        <v>5458.333333333333</v>
      </c>
      <c r="W55" s="103">
        <f t="shared" si="30"/>
        <v>5458.333333333333</v>
      </c>
      <c r="X55" s="103">
        <f t="shared" si="30"/>
        <v>5458.333333333333</v>
      </c>
      <c r="Y55" s="103">
        <f t="shared" si="30"/>
        <v>5458.333333333333</v>
      </c>
      <c r="Z55" s="103">
        <f t="shared" si="30"/>
        <v>5458.333333333333</v>
      </c>
      <c r="AA55" s="103">
        <f t="shared" si="30"/>
        <v>5458.333333333333</v>
      </c>
      <c r="AB55" s="103">
        <f t="shared" si="30"/>
        <v>5458.333333333333</v>
      </c>
      <c r="AC55" s="103">
        <f t="shared" si="30"/>
        <v>5458.333333333333</v>
      </c>
      <c r="AD55" s="103">
        <f t="shared" si="30"/>
        <v>5458.333333333333</v>
      </c>
      <c r="AE55" s="103">
        <f t="shared" si="30"/>
        <v>5458.333333333333</v>
      </c>
      <c r="AF55" s="103">
        <f t="shared" si="30"/>
        <v>5458.333333333333</v>
      </c>
      <c r="AG55" s="103">
        <f t="shared" si="30"/>
        <v>5458.333333333333</v>
      </c>
      <c r="AH55" s="103">
        <f t="shared" si="30"/>
        <v>5458.333333333333</v>
      </c>
      <c r="AI55" s="103">
        <f t="shared" si="30"/>
        <v>5458.333333333333</v>
      </c>
      <c r="AJ55" s="103">
        <f t="shared" si="30"/>
        <v>5458.333333333333</v>
      </c>
      <c r="AK55" s="103">
        <f t="shared" si="30"/>
        <v>5458.333333333333</v>
      </c>
      <c r="AL55" s="103">
        <f t="shared" si="30"/>
        <v>5458.333333333333</v>
      </c>
      <c r="AM55" s="103">
        <f t="shared" si="30"/>
        <v>5458.333333333333</v>
      </c>
      <c r="AN55" s="103">
        <f t="shared" si="30"/>
        <v>5458.333333333333</v>
      </c>
      <c r="AO55" s="103">
        <f t="shared" si="30"/>
        <v>5458.333333333333</v>
      </c>
      <c r="AP55" s="103">
        <f t="shared" si="30"/>
        <v>5458.333333333333</v>
      </c>
      <c r="AQ55" s="103">
        <f t="shared" si="30"/>
        <v>5458.333333333333</v>
      </c>
      <c r="AR55" s="103">
        <f t="shared" si="30"/>
        <v>5458.333333333333</v>
      </c>
      <c r="AS55" s="103">
        <f t="shared" si="30"/>
        <v>5458.333333333333</v>
      </c>
      <c r="AT55" s="103">
        <f t="shared" si="30"/>
        <v>5458.333333333333</v>
      </c>
      <c r="AU55" s="103">
        <f t="shared" si="30"/>
        <v>5458.333333333333</v>
      </c>
      <c r="AV55" s="103">
        <f t="shared" si="30"/>
        <v>5458.333333333333</v>
      </c>
      <c r="AW55" s="103">
        <f t="shared" si="30"/>
        <v>5458.333333333333</v>
      </c>
      <c r="AX55" s="103">
        <f t="shared" si="30"/>
        <v>5458.333333333333</v>
      </c>
      <c r="AY55" s="103">
        <f t="shared" si="30"/>
        <v>5458.333333333333</v>
      </c>
      <c r="AZ55" s="103">
        <f t="shared" si="30"/>
        <v>5458.333333333333</v>
      </c>
      <c r="BA55" s="103">
        <f t="shared" si="30"/>
        <v>5458.333333333333</v>
      </c>
      <c r="BB55" s="103">
        <f t="shared" si="30"/>
        <v>5458.333333333333</v>
      </c>
      <c r="BC55" s="103">
        <f t="shared" si="30"/>
        <v>5458.333333333333</v>
      </c>
      <c r="BD55" s="103">
        <f t="shared" si="30"/>
        <v>5458.333333333333</v>
      </c>
      <c r="BE55" s="103">
        <f t="shared" si="30"/>
        <v>5458.333333333333</v>
      </c>
      <c r="BF55" s="103">
        <f t="shared" si="30"/>
        <v>5458.333333333333</v>
      </c>
      <c r="BG55" s="103">
        <f t="shared" si="30"/>
        <v>5458.333333333333</v>
      </c>
      <c r="BH55" s="103">
        <f t="shared" si="30"/>
        <v>5458.333333333333</v>
      </c>
      <c r="BI55" s="103">
        <f t="shared" si="30"/>
        <v>5458.333333333333</v>
      </c>
      <c r="BJ55" s="103">
        <f t="shared" si="30"/>
        <v>5458.333333333333</v>
      </c>
    </row>
    <row r="56" spans="1:62" ht="12.75">
      <c r="A56" s="127" t="s">
        <v>131</v>
      </c>
      <c r="B56" s="85"/>
      <c r="C56" s="134">
        <f>C54-C55</f>
        <v>649541.6666666666</v>
      </c>
      <c r="D56" s="134">
        <f>C56-D55</f>
        <v>644083.3333333333</v>
      </c>
      <c r="E56" s="134">
        <f aca="true" t="shared" si="31" ref="E56:BJ56">D56-E55</f>
        <v>638624.9999999999</v>
      </c>
      <c r="F56" s="134">
        <f t="shared" si="31"/>
        <v>633166.6666666665</v>
      </c>
      <c r="G56" s="134">
        <f t="shared" si="31"/>
        <v>627708.3333333331</v>
      </c>
      <c r="H56" s="134">
        <f t="shared" si="31"/>
        <v>622249.9999999998</v>
      </c>
      <c r="I56" s="134">
        <f t="shared" si="31"/>
        <v>616791.6666666664</v>
      </c>
      <c r="J56" s="134">
        <f t="shared" si="31"/>
        <v>611333.333333333</v>
      </c>
      <c r="K56" s="134">
        <f t="shared" si="31"/>
        <v>605874.9999999997</v>
      </c>
      <c r="L56" s="134">
        <f t="shared" si="31"/>
        <v>600416.6666666663</v>
      </c>
      <c r="M56" s="134">
        <f t="shared" si="31"/>
        <v>594958.3333333329</v>
      </c>
      <c r="N56" s="134">
        <f t="shared" si="31"/>
        <v>589499.9999999995</v>
      </c>
      <c r="O56" s="103">
        <f t="shared" si="31"/>
        <v>584041.6666666662</v>
      </c>
      <c r="P56" s="103">
        <f t="shared" si="31"/>
        <v>578583.3333333328</v>
      </c>
      <c r="Q56" s="103">
        <f t="shared" si="31"/>
        <v>573124.9999999994</v>
      </c>
      <c r="R56" s="103">
        <f t="shared" si="31"/>
        <v>567666.666666666</v>
      </c>
      <c r="S56" s="103">
        <f t="shared" si="31"/>
        <v>562208.3333333327</v>
      </c>
      <c r="T56" s="103">
        <f t="shared" si="31"/>
        <v>556749.9999999993</v>
      </c>
      <c r="U56" s="103">
        <f t="shared" si="31"/>
        <v>551291.6666666659</v>
      </c>
      <c r="V56" s="103">
        <f t="shared" si="31"/>
        <v>545833.3333333326</v>
      </c>
      <c r="W56" s="103">
        <f t="shared" si="31"/>
        <v>540374.9999999992</v>
      </c>
      <c r="X56" s="103">
        <f t="shared" si="31"/>
        <v>534916.6666666658</v>
      </c>
      <c r="Y56" s="103">
        <f t="shared" si="31"/>
        <v>529458.3333333324</v>
      </c>
      <c r="Z56" s="103">
        <f t="shared" si="31"/>
        <v>523999.9999999991</v>
      </c>
      <c r="AA56" s="103">
        <f t="shared" si="31"/>
        <v>518541.6666666658</v>
      </c>
      <c r="AB56" s="103">
        <f t="shared" si="31"/>
        <v>513083.3333333325</v>
      </c>
      <c r="AC56" s="103">
        <f t="shared" si="31"/>
        <v>507624.9999999992</v>
      </c>
      <c r="AD56" s="103">
        <f t="shared" si="31"/>
        <v>502166.6666666659</v>
      </c>
      <c r="AE56" s="103">
        <f t="shared" si="31"/>
        <v>496708.33333333256</v>
      </c>
      <c r="AF56" s="103">
        <f t="shared" si="31"/>
        <v>491249.99999999924</v>
      </c>
      <c r="AG56" s="103">
        <f t="shared" si="31"/>
        <v>485791.66666666593</v>
      </c>
      <c r="AH56" s="103">
        <f t="shared" si="31"/>
        <v>480333.3333333326</v>
      </c>
      <c r="AI56" s="103">
        <f t="shared" si="31"/>
        <v>474874.9999999993</v>
      </c>
      <c r="AJ56" s="103">
        <f t="shared" si="31"/>
        <v>469416.666666666</v>
      </c>
      <c r="AK56" s="103">
        <f t="shared" si="31"/>
        <v>463958.3333333327</v>
      </c>
      <c r="AL56" s="103">
        <f t="shared" si="31"/>
        <v>458499.99999999936</v>
      </c>
      <c r="AM56" s="103">
        <f t="shared" si="31"/>
        <v>453041.66666666605</v>
      </c>
      <c r="AN56" s="103">
        <f t="shared" si="31"/>
        <v>447583.33333333273</v>
      </c>
      <c r="AO56" s="103">
        <f t="shared" si="31"/>
        <v>442124.9999999994</v>
      </c>
      <c r="AP56" s="103">
        <f t="shared" si="31"/>
        <v>436666.6666666661</v>
      </c>
      <c r="AQ56" s="103">
        <f t="shared" si="31"/>
        <v>431208.3333333328</v>
      </c>
      <c r="AR56" s="103">
        <f t="shared" si="31"/>
        <v>425749.9999999995</v>
      </c>
      <c r="AS56" s="103">
        <f t="shared" si="31"/>
        <v>420291.66666666616</v>
      </c>
      <c r="AT56" s="103">
        <f t="shared" si="31"/>
        <v>414833.33333333285</v>
      </c>
      <c r="AU56" s="103">
        <f t="shared" si="31"/>
        <v>409374.99999999953</v>
      </c>
      <c r="AV56" s="103">
        <f t="shared" si="31"/>
        <v>403916.6666666662</v>
      </c>
      <c r="AW56" s="103">
        <f t="shared" si="31"/>
        <v>398458.3333333329</v>
      </c>
      <c r="AX56" s="103">
        <f t="shared" si="31"/>
        <v>392999.9999999996</v>
      </c>
      <c r="AY56" s="103">
        <f t="shared" si="31"/>
        <v>387541.6666666663</v>
      </c>
      <c r="AZ56" s="103">
        <f t="shared" si="31"/>
        <v>382083.33333333296</v>
      </c>
      <c r="BA56" s="103">
        <f t="shared" si="31"/>
        <v>376624.99999999965</v>
      </c>
      <c r="BB56" s="103">
        <f t="shared" si="31"/>
        <v>371166.66666666634</v>
      </c>
      <c r="BC56" s="103">
        <f t="shared" si="31"/>
        <v>365708.333333333</v>
      </c>
      <c r="BD56" s="103">
        <f t="shared" si="31"/>
        <v>360249.9999999997</v>
      </c>
      <c r="BE56" s="103">
        <f t="shared" si="31"/>
        <v>354791.6666666664</v>
      </c>
      <c r="BF56" s="103">
        <f t="shared" si="31"/>
        <v>349333.3333333331</v>
      </c>
      <c r="BG56" s="103">
        <f t="shared" si="31"/>
        <v>343874.99999999977</v>
      </c>
      <c r="BH56" s="103">
        <f t="shared" si="31"/>
        <v>338416.66666666645</v>
      </c>
      <c r="BI56" s="103">
        <f t="shared" si="31"/>
        <v>332958.33333333314</v>
      </c>
      <c r="BJ56" s="103">
        <f t="shared" si="31"/>
        <v>327499.9999999998</v>
      </c>
    </row>
    <row r="57" spans="1:62" ht="12.75">
      <c r="A57" s="127" t="s">
        <v>132</v>
      </c>
      <c r="B57" s="85"/>
      <c r="C57" s="134">
        <f>C66</f>
        <v>17500</v>
      </c>
      <c r="D57" s="134">
        <f>C57+D53</f>
        <v>17500</v>
      </c>
      <c r="E57" s="134">
        <f aca="true" t="shared" si="32" ref="E57:BJ57">D57+E53</f>
        <v>17500</v>
      </c>
      <c r="F57" s="134">
        <f t="shared" si="32"/>
        <v>17500</v>
      </c>
      <c r="G57" s="134">
        <f t="shared" si="32"/>
        <v>17500</v>
      </c>
      <c r="H57" s="134">
        <f t="shared" si="32"/>
        <v>17500</v>
      </c>
      <c r="I57" s="134">
        <f t="shared" si="32"/>
        <v>17500</v>
      </c>
      <c r="J57" s="134">
        <f t="shared" si="32"/>
        <v>17500</v>
      </c>
      <c r="K57" s="134">
        <f t="shared" si="32"/>
        <v>17500</v>
      </c>
      <c r="L57" s="134">
        <f t="shared" si="32"/>
        <v>17500</v>
      </c>
      <c r="M57" s="134">
        <f t="shared" si="32"/>
        <v>17500</v>
      </c>
      <c r="N57" s="134">
        <f t="shared" si="32"/>
        <v>17500</v>
      </c>
      <c r="O57" s="103">
        <f t="shared" si="32"/>
        <v>17500</v>
      </c>
      <c r="P57" s="103">
        <f t="shared" si="32"/>
        <v>17500</v>
      </c>
      <c r="Q57" s="103">
        <f t="shared" si="32"/>
        <v>17500</v>
      </c>
      <c r="R57" s="103">
        <f t="shared" si="32"/>
        <v>17500</v>
      </c>
      <c r="S57" s="103">
        <f t="shared" si="32"/>
        <v>17500</v>
      </c>
      <c r="T57" s="103">
        <f t="shared" si="32"/>
        <v>17500</v>
      </c>
      <c r="U57" s="103">
        <f t="shared" si="32"/>
        <v>17500</v>
      </c>
      <c r="V57" s="103">
        <f t="shared" si="32"/>
        <v>17500</v>
      </c>
      <c r="W57" s="103">
        <f t="shared" si="32"/>
        <v>17500</v>
      </c>
      <c r="X57" s="103">
        <f t="shared" si="32"/>
        <v>17500</v>
      </c>
      <c r="Y57" s="103">
        <f t="shared" si="32"/>
        <v>17500</v>
      </c>
      <c r="Z57" s="103">
        <f t="shared" si="32"/>
        <v>17500</v>
      </c>
      <c r="AA57" s="103">
        <f t="shared" si="32"/>
        <v>17500</v>
      </c>
      <c r="AB57" s="103">
        <f t="shared" si="32"/>
        <v>17500</v>
      </c>
      <c r="AC57" s="103">
        <f t="shared" si="32"/>
        <v>17500</v>
      </c>
      <c r="AD57" s="103">
        <f t="shared" si="32"/>
        <v>17500</v>
      </c>
      <c r="AE57" s="103">
        <f t="shared" si="32"/>
        <v>17500</v>
      </c>
      <c r="AF57" s="103">
        <f t="shared" si="32"/>
        <v>17500</v>
      </c>
      <c r="AG57" s="103">
        <f t="shared" si="32"/>
        <v>17500</v>
      </c>
      <c r="AH57" s="103">
        <f t="shared" si="32"/>
        <v>17500</v>
      </c>
      <c r="AI57" s="103">
        <f t="shared" si="32"/>
        <v>17500</v>
      </c>
      <c r="AJ57" s="103">
        <f t="shared" si="32"/>
        <v>17500</v>
      </c>
      <c r="AK57" s="103">
        <f t="shared" si="32"/>
        <v>17500</v>
      </c>
      <c r="AL57" s="103">
        <f t="shared" si="32"/>
        <v>17500</v>
      </c>
      <c r="AM57" s="103">
        <f t="shared" si="32"/>
        <v>17500</v>
      </c>
      <c r="AN57" s="103">
        <f t="shared" si="32"/>
        <v>17500</v>
      </c>
      <c r="AO57" s="103">
        <f t="shared" si="32"/>
        <v>17500</v>
      </c>
      <c r="AP57" s="103">
        <f t="shared" si="32"/>
        <v>17500</v>
      </c>
      <c r="AQ57" s="103">
        <f t="shared" si="32"/>
        <v>17500</v>
      </c>
      <c r="AR57" s="103">
        <f t="shared" si="32"/>
        <v>17500</v>
      </c>
      <c r="AS57" s="103">
        <f t="shared" si="32"/>
        <v>17500</v>
      </c>
      <c r="AT57" s="103">
        <f t="shared" si="32"/>
        <v>17500</v>
      </c>
      <c r="AU57" s="103">
        <f t="shared" si="32"/>
        <v>17500</v>
      </c>
      <c r="AV57" s="103">
        <f t="shared" si="32"/>
        <v>17500</v>
      </c>
      <c r="AW57" s="103">
        <f t="shared" si="32"/>
        <v>17500</v>
      </c>
      <c r="AX57" s="103">
        <f t="shared" si="32"/>
        <v>17500</v>
      </c>
      <c r="AY57" s="103">
        <f t="shared" si="32"/>
        <v>17500</v>
      </c>
      <c r="AZ57" s="103">
        <f t="shared" si="32"/>
        <v>17500</v>
      </c>
      <c r="BA57" s="103">
        <f t="shared" si="32"/>
        <v>17500</v>
      </c>
      <c r="BB57" s="103">
        <f t="shared" si="32"/>
        <v>17500</v>
      </c>
      <c r="BC57" s="103">
        <f t="shared" si="32"/>
        <v>17500</v>
      </c>
      <c r="BD57" s="103">
        <f t="shared" si="32"/>
        <v>17500</v>
      </c>
      <c r="BE57" s="103">
        <f t="shared" si="32"/>
        <v>17500</v>
      </c>
      <c r="BF57" s="103">
        <f t="shared" si="32"/>
        <v>17500</v>
      </c>
      <c r="BG57" s="103">
        <f t="shared" si="32"/>
        <v>17500</v>
      </c>
      <c r="BH57" s="103">
        <f t="shared" si="32"/>
        <v>17500</v>
      </c>
      <c r="BI57" s="103">
        <f t="shared" si="32"/>
        <v>17500</v>
      </c>
      <c r="BJ57" s="103">
        <f t="shared" si="32"/>
        <v>17500</v>
      </c>
    </row>
    <row r="58" spans="1:62" ht="12.75">
      <c r="A58" s="127" t="s">
        <v>133</v>
      </c>
      <c r="B58" s="85"/>
      <c r="C58" s="134">
        <f>C57/60</f>
        <v>291.6666666666667</v>
      </c>
      <c r="D58" s="134">
        <f aca="true" t="shared" si="33" ref="D58:BJ58">D57/60</f>
        <v>291.6666666666667</v>
      </c>
      <c r="E58" s="134">
        <f t="shared" si="33"/>
        <v>291.6666666666667</v>
      </c>
      <c r="F58" s="134">
        <f t="shared" si="33"/>
        <v>291.6666666666667</v>
      </c>
      <c r="G58" s="134">
        <f t="shared" si="33"/>
        <v>291.6666666666667</v>
      </c>
      <c r="H58" s="134">
        <f t="shared" si="33"/>
        <v>291.6666666666667</v>
      </c>
      <c r="I58" s="134">
        <f t="shared" si="33"/>
        <v>291.6666666666667</v>
      </c>
      <c r="J58" s="134">
        <f t="shared" si="33"/>
        <v>291.6666666666667</v>
      </c>
      <c r="K58" s="134">
        <f t="shared" si="33"/>
        <v>291.6666666666667</v>
      </c>
      <c r="L58" s="134">
        <f t="shared" si="33"/>
        <v>291.6666666666667</v>
      </c>
      <c r="M58" s="134">
        <f t="shared" si="33"/>
        <v>291.6666666666667</v>
      </c>
      <c r="N58" s="134">
        <f t="shared" si="33"/>
        <v>291.6666666666667</v>
      </c>
      <c r="O58" s="103">
        <f t="shared" si="33"/>
        <v>291.6666666666667</v>
      </c>
      <c r="P58" s="103">
        <f t="shared" si="33"/>
        <v>291.6666666666667</v>
      </c>
      <c r="Q58" s="103">
        <f t="shared" si="33"/>
        <v>291.6666666666667</v>
      </c>
      <c r="R58" s="103">
        <f t="shared" si="33"/>
        <v>291.6666666666667</v>
      </c>
      <c r="S58" s="103">
        <f t="shared" si="33"/>
        <v>291.6666666666667</v>
      </c>
      <c r="T58" s="103">
        <f t="shared" si="33"/>
        <v>291.6666666666667</v>
      </c>
      <c r="U58" s="103">
        <f t="shared" si="33"/>
        <v>291.6666666666667</v>
      </c>
      <c r="V58" s="103">
        <f t="shared" si="33"/>
        <v>291.6666666666667</v>
      </c>
      <c r="W58" s="103">
        <f t="shared" si="33"/>
        <v>291.6666666666667</v>
      </c>
      <c r="X58" s="103">
        <f t="shared" si="33"/>
        <v>291.6666666666667</v>
      </c>
      <c r="Y58" s="103">
        <f t="shared" si="33"/>
        <v>291.6666666666667</v>
      </c>
      <c r="Z58" s="103">
        <f t="shared" si="33"/>
        <v>291.6666666666667</v>
      </c>
      <c r="AA58" s="103">
        <f t="shared" si="33"/>
        <v>291.6666666666667</v>
      </c>
      <c r="AB58" s="103">
        <f t="shared" si="33"/>
        <v>291.6666666666667</v>
      </c>
      <c r="AC58" s="103">
        <f t="shared" si="33"/>
        <v>291.6666666666667</v>
      </c>
      <c r="AD58" s="103">
        <f t="shared" si="33"/>
        <v>291.6666666666667</v>
      </c>
      <c r="AE58" s="103">
        <f t="shared" si="33"/>
        <v>291.6666666666667</v>
      </c>
      <c r="AF58" s="103">
        <f t="shared" si="33"/>
        <v>291.6666666666667</v>
      </c>
      <c r="AG58" s="103">
        <f t="shared" si="33"/>
        <v>291.6666666666667</v>
      </c>
      <c r="AH58" s="103">
        <f t="shared" si="33"/>
        <v>291.6666666666667</v>
      </c>
      <c r="AI58" s="103">
        <f t="shared" si="33"/>
        <v>291.6666666666667</v>
      </c>
      <c r="AJ58" s="103">
        <f t="shared" si="33"/>
        <v>291.6666666666667</v>
      </c>
      <c r="AK58" s="103">
        <f t="shared" si="33"/>
        <v>291.6666666666667</v>
      </c>
      <c r="AL58" s="103">
        <f t="shared" si="33"/>
        <v>291.6666666666667</v>
      </c>
      <c r="AM58" s="103">
        <f t="shared" si="33"/>
        <v>291.6666666666667</v>
      </c>
      <c r="AN58" s="103">
        <f t="shared" si="33"/>
        <v>291.6666666666667</v>
      </c>
      <c r="AO58" s="103">
        <f t="shared" si="33"/>
        <v>291.6666666666667</v>
      </c>
      <c r="AP58" s="103">
        <f t="shared" si="33"/>
        <v>291.6666666666667</v>
      </c>
      <c r="AQ58" s="103">
        <f t="shared" si="33"/>
        <v>291.6666666666667</v>
      </c>
      <c r="AR58" s="103">
        <f t="shared" si="33"/>
        <v>291.6666666666667</v>
      </c>
      <c r="AS58" s="103">
        <f t="shared" si="33"/>
        <v>291.6666666666667</v>
      </c>
      <c r="AT58" s="103">
        <f t="shared" si="33"/>
        <v>291.6666666666667</v>
      </c>
      <c r="AU58" s="103">
        <f t="shared" si="33"/>
        <v>291.6666666666667</v>
      </c>
      <c r="AV58" s="103">
        <f t="shared" si="33"/>
        <v>291.6666666666667</v>
      </c>
      <c r="AW58" s="103">
        <f t="shared" si="33"/>
        <v>291.6666666666667</v>
      </c>
      <c r="AX58" s="103">
        <f t="shared" si="33"/>
        <v>291.6666666666667</v>
      </c>
      <c r="AY58" s="103">
        <f t="shared" si="33"/>
        <v>291.6666666666667</v>
      </c>
      <c r="AZ58" s="103">
        <f t="shared" si="33"/>
        <v>291.6666666666667</v>
      </c>
      <c r="BA58" s="103">
        <f t="shared" si="33"/>
        <v>291.6666666666667</v>
      </c>
      <c r="BB58" s="103">
        <f t="shared" si="33"/>
        <v>291.6666666666667</v>
      </c>
      <c r="BC58" s="103">
        <f t="shared" si="33"/>
        <v>291.6666666666667</v>
      </c>
      <c r="BD58" s="103">
        <f t="shared" si="33"/>
        <v>291.6666666666667</v>
      </c>
      <c r="BE58" s="103">
        <f t="shared" si="33"/>
        <v>291.6666666666667</v>
      </c>
      <c r="BF58" s="103">
        <f t="shared" si="33"/>
        <v>291.6666666666667</v>
      </c>
      <c r="BG58" s="103">
        <f t="shared" si="33"/>
        <v>291.6666666666667</v>
      </c>
      <c r="BH58" s="103">
        <f t="shared" si="33"/>
        <v>291.6666666666667</v>
      </c>
      <c r="BI58" s="103">
        <f t="shared" si="33"/>
        <v>291.6666666666667</v>
      </c>
      <c r="BJ58" s="103">
        <f t="shared" si="33"/>
        <v>291.6666666666667</v>
      </c>
    </row>
    <row r="59" spans="1:62" ht="12.75">
      <c r="A59" s="127" t="s">
        <v>134</v>
      </c>
      <c r="B59" s="85"/>
      <c r="C59" s="134">
        <f>C57-C58</f>
        <v>17208.333333333332</v>
      </c>
      <c r="D59" s="134">
        <f>C59-D58</f>
        <v>16916.666666666664</v>
      </c>
      <c r="E59" s="134">
        <f aca="true" t="shared" si="34" ref="E59:BJ59">D59-E58</f>
        <v>16624.999999999996</v>
      </c>
      <c r="F59" s="134">
        <f t="shared" si="34"/>
        <v>16333.33333333333</v>
      </c>
      <c r="G59" s="134">
        <f t="shared" si="34"/>
        <v>16041.666666666664</v>
      </c>
      <c r="H59" s="134">
        <f t="shared" si="34"/>
        <v>15749.999999999998</v>
      </c>
      <c r="I59" s="134">
        <f t="shared" si="34"/>
        <v>15458.333333333332</v>
      </c>
      <c r="J59" s="134">
        <f t="shared" si="34"/>
        <v>15166.666666666666</v>
      </c>
      <c r="K59" s="134">
        <f t="shared" si="34"/>
        <v>14875</v>
      </c>
      <c r="L59" s="134">
        <f t="shared" si="34"/>
        <v>14583.333333333334</v>
      </c>
      <c r="M59" s="134">
        <f t="shared" si="34"/>
        <v>14291.666666666668</v>
      </c>
      <c r="N59" s="134">
        <f t="shared" si="34"/>
        <v>14000.000000000002</v>
      </c>
      <c r="O59" s="103">
        <f t="shared" si="34"/>
        <v>13708.333333333336</v>
      </c>
      <c r="P59" s="103">
        <f t="shared" si="34"/>
        <v>13416.66666666667</v>
      </c>
      <c r="Q59" s="103">
        <f t="shared" si="34"/>
        <v>13125.000000000004</v>
      </c>
      <c r="R59" s="103">
        <f t="shared" si="34"/>
        <v>12833.333333333338</v>
      </c>
      <c r="S59" s="103">
        <f t="shared" si="34"/>
        <v>12541.666666666672</v>
      </c>
      <c r="T59" s="103">
        <f t="shared" si="34"/>
        <v>12250.000000000005</v>
      </c>
      <c r="U59" s="103">
        <f t="shared" si="34"/>
        <v>11958.33333333334</v>
      </c>
      <c r="V59" s="103">
        <f t="shared" si="34"/>
        <v>11666.666666666673</v>
      </c>
      <c r="W59" s="103">
        <f t="shared" si="34"/>
        <v>11375.000000000007</v>
      </c>
      <c r="X59" s="103">
        <f t="shared" si="34"/>
        <v>11083.333333333341</v>
      </c>
      <c r="Y59" s="103">
        <f t="shared" si="34"/>
        <v>10791.666666666675</v>
      </c>
      <c r="Z59" s="103">
        <f t="shared" si="34"/>
        <v>10500.00000000001</v>
      </c>
      <c r="AA59" s="103">
        <f t="shared" si="34"/>
        <v>10208.333333333343</v>
      </c>
      <c r="AB59" s="103">
        <f t="shared" si="34"/>
        <v>9916.666666666677</v>
      </c>
      <c r="AC59" s="103">
        <f t="shared" si="34"/>
        <v>9625.000000000011</v>
      </c>
      <c r="AD59" s="103">
        <f t="shared" si="34"/>
        <v>9333.333333333345</v>
      </c>
      <c r="AE59" s="103">
        <f t="shared" si="34"/>
        <v>9041.666666666679</v>
      </c>
      <c r="AF59" s="103">
        <f t="shared" si="34"/>
        <v>8750.000000000013</v>
      </c>
      <c r="AG59" s="103">
        <f t="shared" si="34"/>
        <v>8458.333333333347</v>
      </c>
      <c r="AH59" s="103">
        <f t="shared" si="34"/>
        <v>8166.66666666668</v>
      </c>
      <c r="AI59" s="103">
        <f t="shared" si="34"/>
        <v>7875.000000000013</v>
      </c>
      <c r="AJ59" s="103">
        <f t="shared" si="34"/>
        <v>7583.333333333346</v>
      </c>
      <c r="AK59" s="103">
        <f t="shared" si="34"/>
        <v>7291.666666666679</v>
      </c>
      <c r="AL59" s="103">
        <f t="shared" si="34"/>
        <v>7000.000000000012</v>
      </c>
      <c r="AM59" s="103">
        <f t="shared" si="34"/>
        <v>6708.333333333345</v>
      </c>
      <c r="AN59" s="103">
        <f t="shared" si="34"/>
        <v>6416.666666666678</v>
      </c>
      <c r="AO59" s="103">
        <f t="shared" si="34"/>
        <v>6125.000000000011</v>
      </c>
      <c r="AP59" s="103">
        <f t="shared" si="34"/>
        <v>5833.333333333344</v>
      </c>
      <c r="AQ59" s="103">
        <f t="shared" si="34"/>
        <v>5541.666666666677</v>
      </c>
      <c r="AR59" s="103">
        <f t="shared" si="34"/>
        <v>5250.00000000001</v>
      </c>
      <c r="AS59" s="103">
        <f t="shared" si="34"/>
        <v>4958.333333333343</v>
      </c>
      <c r="AT59" s="103">
        <f t="shared" si="34"/>
        <v>4666.666666666676</v>
      </c>
      <c r="AU59" s="103">
        <f t="shared" si="34"/>
        <v>4375.000000000009</v>
      </c>
      <c r="AV59" s="103">
        <f t="shared" si="34"/>
        <v>4083.3333333333426</v>
      </c>
      <c r="AW59" s="103">
        <f t="shared" si="34"/>
        <v>3791.666666666676</v>
      </c>
      <c r="AX59" s="103">
        <f t="shared" si="34"/>
        <v>3500.0000000000095</v>
      </c>
      <c r="AY59" s="103">
        <f t="shared" si="34"/>
        <v>3208.333333333343</v>
      </c>
      <c r="AZ59" s="103">
        <f t="shared" si="34"/>
        <v>2916.6666666666765</v>
      </c>
      <c r="BA59" s="103">
        <f t="shared" si="34"/>
        <v>2625.00000000001</v>
      </c>
      <c r="BB59" s="103">
        <f t="shared" si="34"/>
        <v>2333.3333333333435</v>
      </c>
      <c r="BC59" s="103">
        <f t="shared" si="34"/>
        <v>2041.6666666666767</v>
      </c>
      <c r="BD59" s="103">
        <f t="shared" si="34"/>
        <v>1750.00000000001</v>
      </c>
      <c r="BE59" s="103">
        <f t="shared" si="34"/>
        <v>1458.3333333333433</v>
      </c>
      <c r="BF59" s="103">
        <f t="shared" si="34"/>
        <v>1166.6666666666765</v>
      </c>
      <c r="BG59" s="103">
        <f t="shared" si="34"/>
        <v>875.0000000000098</v>
      </c>
      <c r="BH59" s="103">
        <f t="shared" si="34"/>
        <v>583.333333333343</v>
      </c>
      <c r="BI59" s="103">
        <f t="shared" si="34"/>
        <v>291.66666666667635</v>
      </c>
      <c r="BJ59" s="103">
        <f t="shared" si="34"/>
        <v>9.663381206337363E-12</v>
      </c>
    </row>
    <row r="60" spans="1:62" ht="12.75">
      <c r="A60" s="127"/>
      <c r="B60" s="85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</row>
    <row r="61" spans="1:62" ht="12.75">
      <c r="A61" s="127" t="s">
        <v>93</v>
      </c>
      <c r="B61" s="85"/>
      <c r="C61" s="134">
        <f>C55+C58</f>
        <v>5750</v>
      </c>
      <c r="D61" s="134">
        <f aca="true" t="shared" si="35" ref="D61:BJ61">D55+D58</f>
        <v>5750</v>
      </c>
      <c r="E61" s="134">
        <f t="shared" si="35"/>
        <v>5750</v>
      </c>
      <c r="F61" s="134">
        <f t="shared" si="35"/>
        <v>5750</v>
      </c>
      <c r="G61" s="134">
        <f t="shared" si="35"/>
        <v>5750</v>
      </c>
      <c r="H61" s="134">
        <f t="shared" si="35"/>
        <v>5750</v>
      </c>
      <c r="I61" s="134">
        <f t="shared" si="35"/>
        <v>5750</v>
      </c>
      <c r="J61" s="134">
        <f t="shared" si="35"/>
        <v>5750</v>
      </c>
      <c r="K61" s="134">
        <f t="shared" si="35"/>
        <v>5750</v>
      </c>
      <c r="L61" s="134">
        <f t="shared" si="35"/>
        <v>5750</v>
      </c>
      <c r="M61" s="134">
        <f t="shared" si="35"/>
        <v>5750</v>
      </c>
      <c r="N61" s="134">
        <f t="shared" si="35"/>
        <v>5750</v>
      </c>
      <c r="O61" s="103">
        <f t="shared" si="35"/>
        <v>5750</v>
      </c>
      <c r="P61" s="103">
        <f t="shared" si="35"/>
        <v>5750</v>
      </c>
      <c r="Q61" s="103">
        <f t="shared" si="35"/>
        <v>5750</v>
      </c>
      <c r="R61" s="103">
        <f t="shared" si="35"/>
        <v>5750</v>
      </c>
      <c r="S61" s="103">
        <f t="shared" si="35"/>
        <v>5750</v>
      </c>
      <c r="T61" s="103">
        <f t="shared" si="35"/>
        <v>5750</v>
      </c>
      <c r="U61" s="103">
        <f t="shared" si="35"/>
        <v>5750</v>
      </c>
      <c r="V61" s="103">
        <f t="shared" si="35"/>
        <v>5750</v>
      </c>
      <c r="W61" s="103">
        <f t="shared" si="35"/>
        <v>5750</v>
      </c>
      <c r="X61" s="103">
        <f t="shared" si="35"/>
        <v>5750</v>
      </c>
      <c r="Y61" s="103">
        <f t="shared" si="35"/>
        <v>5750</v>
      </c>
      <c r="Z61" s="103">
        <f t="shared" si="35"/>
        <v>5750</v>
      </c>
      <c r="AA61" s="103">
        <f t="shared" si="35"/>
        <v>5750</v>
      </c>
      <c r="AB61" s="103">
        <f t="shared" si="35"/>
        <v>5750</v>
      </c>
      <c r="AC61" s="103">
        <f t="shared" si="35"/>
        <v>5750</v>
      </c>
      <c r="AD61" s="103">
        <f t="shared" si="35"/>
        <v>5750</v>
      </c>
      <c r="AE61" s="103">
        <f t="shared" si="35"/>
        <v>5750</v>
      </c>
      <c r="AF61" s="103">
        <f t="shared" si="35"/>
        <v>5750</v>
      </c>
      <c r="AG61" s="103">
        <f t="shared" si="35"/>
        <v>5750</v>
      </c>
      <c r="AH61" s="103">
        <f t="shared" si="35"/>
        <v>5750</v>
      </c>
      <c r="AI61" s="103">
        <f t="shared" si="35"/>
        <v>5750</v>
      </c>
      <c r="AJ61" s="103">
        <f t="shared" si="35"/>
        <v>5750</v>
      </c>
      <c r="AK61" s="103">
        <f t="shared" si="35"/>
        <v>5750</v>
      </c>
      <c r="AL61" s="103">
        <f t="shared" si="35"/>
        <v>5750</v>
      </c>
      <c r="AM61" s="103">
        <f t="shared" si="35"/>
        <v>5750</v>
      </c>
      <c r="AN61" s="103">
        <f t="shared" si="35"/>
        <v>5750</v>
      </c>
      <c r="AO61" s="103">
        <f t="shared" si="35"/>
        <v>5750</v>
      </c>
      <c r="AP61" s="103">
        <f t="shared" si="35"/>
        <v>5750</v>
      </c>
      <c r="AQ61" s="103">
        <f t="shared" si="35"/>
        <v>5750</v>
      </c>
      <c r="AR61" s="103">
        <f t="shared" si="35"/>
        <v>5750</v>
      </c>
      <c r="AS61" s="103">
        <f t="shared" si="35"/>
        <v>5750</v>
      </c>
      <c r="AT61" s="103">
        <f t="shared" si="35"/>
        <v>5750</v>
      </c>
      <c r="AU61" s="103">
        <f t="shared" si="35"/>
        <v>5750</v>
      </c>
      <c r="AV61" s="103">
        <f t="shared" si="35"/>
        <v>5750</v>
      </c>
      <c r="AW61" s="103">
        <f t="shared" si="35"/>
        <v>5750</v>
      </c>
      <c r="AX61" s="103">
        <f t="shared" si="35"/>
        <v>5750</v>
      </c>
      <c r="AY61" s="103">
        <f t="shared" si="35"/>
        <v>5750</v>
      </c>
      <c r="AZ61" s="103">
        <f t="shared" si="35"/>
        <v>5750</v>
      </c>
      <c r="BA61" s="103">
        <f t="shared" si="35"/>
        <v>5750</v>
      </c>
      <c r="BB61" s="103">
        <f t="shared" si="35"/>
        <v>5750</v>
      </c>
      <c r="BC61" s="103">
        <f t="shared" si="35"/>
        <v>5750</v>
      </c>
      <c r="BD61" s="103">
        <f t="shared" si="35"/>
        <v>5750</v>
      </c>
      <c r="BE61" s="103">
        <f t="shared" si="35"/>
        <v>5750</v>
      </c>
      <c r="BF61" s="103">
        <f t="shared" si="35"/>
        <v>5750</v>
      </c>
      <c r="BG61" s="103">
        <f t="shared" si="35"/>
        <v>5750</v>
      </c>
      <c r="BH61" s="103">
        <f t="shared" si="35"/>
        <v>5750</v>
      </c>
      <c r="BI61" s="103">
        <f t="shared" si="35"/>
        <v>5750</v>
      </c>
      <c r="BJ61" s="103">
        <f t="shared" si="35"/>
        <v>5750</v>
      </c>
    </row>
    <row r="62" spans="1:62" ht="12.75">
      <c r="A62" s="127"/>
      <c r="B62" s="85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</row>
    <row r="63" spans="1:62" ht="12.75">
      <c r="A63" s="127" t="s">
        <v>160</v>
      </c>
      <c r="B63" s="85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</row>
    <row r="64" spans="1:62" ht="15">
      <c r="A64" s="127" t="s">
        <v>161</v>
      </c>
      <c r="B64" s="85"/>
      <c r="C64" s="137">
        <v>655000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</row>
    <row r="65" spans="1:62" ht="15">
      <c r="A65" s="127" t="s">
        <v>162</v>
      </c>
      <c r="B65" s="85"/>
      <c r="C65" s="137">
        <v>7500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</row>
    <row r="66" spans="1:62" ht="15">
      <c r="A66" s="127" t="s">
        <v>163</v>
      </c>
      <c r="B66" s="85"/>
      <c r="C66" s="137">
        <v>17500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</row>
    <row r="67" ht="12.75">
      <c r="B67" s="89"/>
    </row>
  </sheetData>
  <mergeCells count="1">
    <mergeCell ref="C1:N2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 topLeftCell="A1">
      <selection activeCell="J18" sqref="J18"/>
    </sheetView>
  </sheetViews>
  <sheetFormatPr defaultColWidth="9.140625" defaultRowHeight="15"/>
  <cols>
    <col min="1" max="1" width="7.28125" style="48" bestFit="1" customWidth="1"/>
    <col min="2" max="2" width="59.7109375" style="48" bestFit="1" customWidth="1"/>
    <col min="3" max="16384" width="9.140625" style="48" customWidth="1"/>
  </cols>
  <sheetData>
    <row r="1" spans="1:2" ht="15">
      <c r="A1" s="48">
        <v>454</v>
      </c>
      <c r="B1" s="48" t="s">
        <v>46</v>
      </c>
    </row>
    <row r="2" spans="1:2" ht="15">
      <c r="A2" s="48">
        <v>15</v>
      </c>
      <c r="B2" s="48" t="s">
        <v>47</v>
      </c>
    </row>
    <row r="3" spans="1:2" ht="15">
      <c r="A3" s="48">
        <v>60</v>
      </c>
      <c r="B3" s="48" t="s">
        <v>48</v>
      </c>
    </row>
    <row r="4" spans="1:2" ht="15">
      <c r="A4" s="48">
        <v>100</v>
      </c>
      <c r="B4" s="48" t="s">
        <v>49</v>
      </c>
    </row>
    <row r="5" spans="1:2" ht="15">
      <c r="A5" s="48">
        <v>2</v>
      </c>
      <c r="B5" s="48" t="s">
        <v>50</v>
      </c>
    </row>
    <row r="6" spans="1:2" ht="15">
      <c r="A6" s="48">
        <v>20</v>
      </c>
      <c r="B6" s="48" t="s">
        <v>51</v>
      </c>
    </row>
    <row r="9" spans="1:2" ht="15">
      <c r="A9" s="48">
        <v>100</v>
      </c>
      <c r="B9" s="48" t="s">
        <v>58</v>
      </c>
    </row>
    <row r="10" spans="1:2" ht="15">
      <c r="A10" s="48">
        <v>42.85</v>
      </c>
      <c r="B10" s="48" t="s">
        <v>59</v>
      </c>
    </row>
    <row r="11" spans="1:2" ht="15">
      <c r="A11" s="48">
        <v>0.3</v>
      </c>
      <c r="B11" s="48" t="s">
        <v>60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workbookViewId="0" topLeftCell="A1">
      <selection activeCell="B18" sqref="B18"/>
    </sheetView>
  </sheetViews>
  <sheetFormatPr defaultColWidth="9.140625" defaultRowHeight="15"/>
  <cols>
    <col min="1" max="1" width="16.140625" style="0" bestFit="1" customWidth="1"/>
    <col min="2" max="5" width="12.57421875" style="0" bestFit="1" customWidth="1"/>
    <col min="6" max="6" width="11.00390625" style="0" customWidth="1"/>
  </cols>
  <sheetData>
    <row r="1" spans="1:3" ht="15">
      <c r="A1" t="s">
        <v>30</v>
      </c>
      <c r="B1" s="11" t="e">
        <f>#REF!</f>
        <v>#REF!</v>
      </c>
      <c r="C1" t="e">
        <f>B1/C6</f>
        <v>#REF!</v>
      </c>
    </row>
    <row r="2" spans="2:5" ht="15">
      <c r="B2" s="9"/>
      <c r="C2" s="9"/>
      <c r="D2" s="9"/>
      <c r="E2" s="9"/>
    </row>
    <row r="3" spans="1:2" ht="15">
      <c r="A3" t="s">
        <v>31</v>
      </c>
      <c r="B3" s="9">
        <f>'Capital Flow'!$G$26</f>
        <v>42979.50332813863</v>
      </c>
    </row>
    <row r="4" spans="1:2" ht="15">
      <c r="A4" t="s">
        <v>32</v>
      </c>
      <c r="B4" s="12">
        <f>'Capital Flow'!$F$26</f>
        <v>37627.71588034219</v>
      </c>
    </row>
    <row r="5" spans="1:2" ht="15">
      <c r="A5" t="s">
        <v>33</v>
      </c>
      <c r="B5" s="12">
        <f>'Capital Flow'!$E$26</f>
        <v>32290.55803684138</v>
      </c>
    </row>
    <row r="6" spans="1:3" ht="15">
      <c r="A6" t="s">
        <v>34</v>
      </c>
      <c r="B6" s="12">
        <f>'Capital Flow'!$D$26</f>
        <v>1830.5079172385376</v>
      </c>
      <c r="C6" s="12">
        <f>B6/10500</f>
        <v>0.17433408735605121</v>
      </c>
    </row>
    <row r="12" ht="15">
      <c r="A12" s="10"/>
    </row>
    <row r="13" ht="15">
      <c r="A13" s="10"/>
    </row>
    <row r="23" ht="15">
      <c r="B23" t="s">
        <v>39</v>
      </c>
    </row>
    <row r="24" spans="1:2" ht="15">
      <c r="A24" t="s">
        <v>31</v>
      </c>
      <c r="B24">
        <v>11500</v>
      </c>
    </row>
    <row r="25" spans="1:2" ht="15">
      <c r="A25" t="s">
        <v>32</v>
      </c>
      <c r="B25">
        <v>11000</v>
      </c>
    </row>
    <row r="26" spans="1:2" ht="15">
      <c r="A26" t="s">
        <v>33</v>
      </c>
      <c r="B26">
        <v>10500</v>
      </c>
    </row>
    <row r="27" spans="1:2" ht="15">
      <c r="A27" t="s">
        <v>34</v>
      </c>
      <c r="B27">
        <v>10500</v>
      </c>
    </row>
    <row r="28" spans="1:2" ht="15">
      <c r="A28" t="s">
        <v>30</v>
      </c>
      <c r="B28">
        <v>4620</v>
      </c>
    </row>
    <row r="29" spans="1:3" ht="15">
      <c r="A29" t="s">
        <v>35</v>
      </c>
      <c r="C29" s="9">
        <v>41.9</v>
      </c>
    </row>
  </sheetData>
  <printOptions/>
  <pageMargins left="0.7" right="0.7" top="0.75" bottom="0.75" header="0.3" footer="0.3"/>
  <pageSetup horizontalDpi="600" verticalDpi="600" orientation="landscape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943A-2C51-4625-A3B0-0472D5615A3A}">
  <sheetPr>
    <pageSetUpPr fitToPage="1"/>
  </sheetPr>
  <dimension ref="A1:R37"/>
  <sheetViews>
    <sheetView zoomScale="85" zoomScaleNormal="85" zoomScalePageLayoutView="70" workbookViewId="0" topLeftCell="A1">
      <selection activeCell="V23" sqref="V23"/>
    </sheetView>
  </sheetViews>
  <sheetFormatPr defaultColWidth="9.140625" defaultRowHeight="15"/>
  <cols>
    <col min="1" max="1" width="0.42578125" style="28" customWidth="1"/>
    <col min="2" max="2" width="18.28125" style="19" customWidth="1"/>
    <col min="3" max="3" width="15.57421875" style="0" customWidth="1"/>
    <col min="4" max="4" width="10.421875" style="0" customWidth="1"/>
    <col min="5" max="10" width="16.8515625" style="0" bestFit="1" customWidth="1"/>
    <col min="11" max="11" width="16.421875" style="0" bestFit="1" customWidth="1"/>
    <col min="12" max="16" width="16.8515625" style="0" bestFit="1" customWidth="1"/>
    <col min="17" max="17" width="0.42578125" style="28" customWidth="1"/>
  </cols>
  <sheetData>
    <row r="1" spans="2:17" ht="18.75">
      <c r="B1" s="363" t="str">
        <f>'Request Overview'!$A$1</f>
        <v>Startup Overview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5"/>
    </row>
    <row r="2" spans="2:17" ht="15.75">
      <c r="B2" s="366" t="str">
        <f>'Request Overview'!$A$2</f>
        <v>Pro-Forma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8"/>
    </row>
    <row r="3" spans="1:17" ht="24" customHeight="1">
      <c r="A3" s="25"/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29"/>
    </row>
    <row r="4" spans="1:17" ht="15.75" customHeight="1">
      <c r="A4" s="13"/>
      <c r="B4" s="361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0"/>
    </row>
    <row r="5" spans="1:17" ht="15">
      <c r="A5" s="26"/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1"/>
    </row>
    <row r="6" spans="1:18" ht="15">
      <c r="A6" s="2"/>
      <c r="B6" s="361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2"/>
      <c r="R6" s="17"/>
    </row>
    <row r="7" spans="1:18" ht="15">
      <c r="A7" s="2"/>
      <c r="B7" s="361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2"/>
      <c r="R7" s="17"/>
    </row>
    <row r="8" spans="1:18" ht="15">
      <c r="A8" s="2"/>
      <c r="B8" s="361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2"/>
      <c r="R8" s="17"/>
    </row>
    <row r="9" spans="1:18" ht="15">
      <c r="A9" s="2"/>
      <c r="B9" s="361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2"/>
      <c r="R9" s="17"/>
    </row>
    <row r="10" spans="1:18" ht="15">
      <c r="A10" s="2"/>
      <c r="B10" s="361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2"/>
      <c r="R10" s="17"/>
    </row>
    <row r="11" spans="1:17" ht="15">
      <c r="A11" s="3"/>
      <c r="B11" s="361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3"/>
    </row>
    <row r="12" spans="1:17" ht="15">
      <c r="A12" s="2"/>
      <c r="B12" s="361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2"/>
    </row>
    <row r="13" spans="1:17" ht="15">
      <c r="A13" s="2"/>
      <c r="B13" s="361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2"/>
    </row>
    <row r="14" spans="1:17" ht="15">
      <c r="A14" s="4"/>
      <c r="B14" s="361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4"/>
    </row>
    <row r="15" spans="1:17" ht="15">
      <c r="A15" s="27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5"/>
    </row>
    <row r="16" spans="1:17" ht="15">
      <c r="A16" s="5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20"/>
    </row>
    <row r="17" spans="1:17" ht="15">
      <c r="A17" s="5"/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20"/>
    </row>
    <row r="18" spans="1:17" ht="15">
      <c r="A18" s="5"/>
      <c r="B18" s="361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20"/>
    </row>
    <row r="19" spans="1:17" ht="15">
      <c r="A19" s="5"/>
      <c r="B19" s="361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20"/>
    </row>
    <row r="20" spans="1:17" ht="15">
      <c r="A20" s="5"/>
      <c r="B20" s="361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20"/>
    </row>
    <row r="21" spans="1:17" ht="15">
      <c r="A21" s="5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20"/>
    </row>
    <row r="22" spans="1:17" ht="15">
      <c r="A22" s="5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20"/>
    </row>
    <row r="23" spans="1:17" ht="15">
      <c r="A23" s="8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"/>
    </row>
    <row r="24" spans="1:17" ht="15">
      <c r="A24" s="6"/>
      <c r="B24" s="361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7"/>
    </row>
    <row r="25" spans="1:17" ht="15">
      <c r="A25" s="6"/>
      <c r="B25" s="361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7"/>
    </row>
    <row r="26" spans="1:17" ht="15">
      <c r="A26" s="7"/>
      <c r="B26" s="361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8"/>
    </row>
    <row r="27" spans="1:17" ht="15">
      <c r="A27" s="27"/>
      <c r="B27" s="361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5"/>
    </row>
    <row r="28" spans="1:17" ht="15">
      <c r="A28" s="5"/>
      <c r="B28" s="361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20"/>
    </row>
    <row r="29" spans="1:17" ht="15">
      <c r="A29" s="5"/>
      <c r="B29" s="361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20"/>
    </row>
    <row r="30" spans="1:17" ht="15">
      <c r="A30" s="5"/>
      <c r="B30" s="361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20"/>
    </row>
    <row r="31" spans="1:17" ht="15">
      <c r="A31" s="5"/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20"/>
    </row>
    <row r="32" spans="1:17" ht="15">
      <c r="A32" s="5"/>
      <c r="B32" s="361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20"/>
    </row>
    <row r="33" spans="1:17" ht="15">
      <c r="A33" s="5"/>
      <c r="B33" s="361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20"/>
    </row>
    <row r="34" spans="1:17" ht="15">
      <c r="A34" s="5"/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20"/>
    </row>
    <row r="35" spans="1:17" ht="15">
      <c r="A35" s="21"/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22"/>
    </row>
    <row r="36" spans="1:17" ht="15.75" thickBot="1">
      <c r="A36" s="23"/>
      <c r="B36" s="18"/>
      <c r="C36" s="14"/>
      <c r="D36" s="14"/>
      <c r="E36" s="15"/>
      <c r="F36" s="1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</row>
    <row r="37" spans="2:17" ht="15.75" thickBot="1">
      <c r="B37" s="358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60"/>
    </row>
  </sheetData>
  <mergeCells count="4">
    <mergeCell ref="B37:Q37"/>
    <mergeCell ref="B3:P35"/>
    <mergeCell ref="B1:Q1"/>
    <mergeCell ref="B2:Q2"/>
  </mergeCells>
  <printOptions/>
  <pageMargins left="0.25" right="0.25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RMMC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RMMC Retail Pro Forma Sheet</dc:title>
  <dc:subject>Marijuana Retail</dc:subject>
  <dc:creator>Jon Hofer</dc:creator>
  <cp:keywords/>
  <dc:description/>
  <cp:lastModifiedBy>RMMC Consulting</cp:lastModifiedBy>
  <cp:lastPrinted>2018-08-31T00:08:36Z</cp:lastPrinted>
  <dcterms:created xsi:type="dcterms:W3CDTF">2013-09-16T23:53:41Z</dcterms:created>
  <dcterms:modified xsi:type="dcterms:W3CDTF">2024-02-13T19:01:12Z</dcterms:modified>
  <cp:category>Pro Forma Sheets</cp:category>
  <cp:version/>
  <cp:contentType/>
  <cp:contentStatus>Marijuana Retail</cp:contentStatus>
</cp:coreProperties>
</file>